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0"/>
  </bookViews>
  <sheets>
    <sheet name="Budget_2009" sheetId="1" r:id="rId1"/>
    <sheet name="Big_Exp" sheetId="2" r:id="rId2"/>
    <sheet name="Monthly_Exp" sheetId="3" r:id="rId3"/>
    <sheet name="Income_Transfers" sheetId="4" r:id="rId4"/>
  </sheets>
  <definedNames>
    <definedName name="Excel_BuiltIn__FilterDatabase_1">'Budget_2009'!$E$3:$I$71</definedName>
    <definedName name="Income_Account">'Income_Transfers'!$D$4:$D$104</definedName>
    <definedName name="Income_Amount">'Income_Transfers'!$B$4:$B$104</definedName>
    <definedName name="Income_Date">'Income_Transfers'!$E$4:$E$104</definedName>
    <definedName name="Variadic_Account">'Budget_2009'!$G$4:$G$503</definedName>
    <definedName name="Variadic_Amount">'Budget_2009'!$E$4:$E$503</definedName>
    <definedName name="Variadic_Code">'Budget_2009'!$H$4:$H$503</definedName>
    <definedName name="Variadic_Date">'Budget_2009'!$I$4:$I$503</definedName>
  </definedNames>
  <calcPr fullCalcOnLoad="1"/>
</workbook>
</file>

<file path=xl/sharedStrings.xml><?xml version="1.0" encoding="utf-8"?>
<sst xmlns="http://schemas.openxmlformats.org/spreadsheetml/2006/main" count="171" uniqueCount="96">
  <si>
    <t>Expenses</t>
  </si>
  <si>
    <t>Variable</t>
  </si>
  <si>
    <t>Message Box</t>
  </si>
  <si>
    <t>Version:</t>
  </si>
  <si>
    <t>Year:</t>
  </si>
  <si>
    <t>Variable:</t>
  </si>
  <si>
    <t>Amnt.</t>
  </si>
  <si>
    <t>Description</t>
  </si>
  <si>
    <t>Acnt.</t>
  </si>
  <si>
    <t>Code</t>
  </si>
  <si>
    <t>Date</t>
  </si>
  <si>
    <t>Today is</t>
  </si>
  <si>
    <t>Monthly:</t>
  </si>
  <si>
    <t>Coffee and shit</t>
  </si>
  <si>
    <t>BMO</t>
  </si>
  <si>
    <t>FFOOD</t>
  </si>
  <si>
    <t>expenses are</t>
  </si>
  <si>
    <t>(This month):</t>
  </si>
  <si>
    <t>Pasta polo</t>
  </si>
  <si>
    <t>Big Time:</t>
  </si>
  <si>
    <t>Driving test</t>
  </si>
  <si>
    <t>MISC</t>
  </si>
  <si>
    <t>Loan to Nick</t>
  </si>
  <si>
    <t>Income</t>
  </si>
  <si>
    <t>Java Hut</t>
  </si>
  <si>
    <t>January:</t>
  </si>
  <si>
    <t>No 7</t>
  </si>
  <si>
    <t>LIQR</t>
  </si>
  <si>
    <t>February:</t>
  </si>
  <si>
    <t>March:</t>
  </si>
  <si>
    <t>Toothpaste and headphones</t>
  </si>
  <si>
    <t>April:</t>
  </si>
  <si>
    <t>Wendy's</t>
  </si>
  <si>
    <t>Projections</t>
  </si>
  <si>
    <t>Projected Excess:</t>
  </si>
  <si>
    <t>May:</t>
  </si>
  <si>
    <t>Budgeted</t>
  </si>
  <si>
    <t>Current</t>
  </si>
  <si>
    <t>Proj. Exp</t>
  </si>
  <si>
    <t>Proj. Diff</t>
  </si>
  <si>
    <t>June:</t>
  </si>
  <si>
    <t>Orwell books</t>
  </si>
  <si>
    <t>VISA</t>
  </si>
  <si>
    <t>Eating</t>
  </si>
  <si>
    <t>July:</t>
  </si>
  <si>
    <t>Big White</t>
  </si>
  <si>
    <t>MUSIC</t>
  </si>
  <si>
    <t>Music</t>
  </si>
  <si>
    <t>August:</t>
  </si>
  <si>
    <t>ELEC</t>
  </si>
  <si>
    <t>Electronics</t>
  </si>
  <si>
    <t>September:</t>
  </si>
  <si>
    <t>GAS</t>
  </si>
  <si>
    <t>Truck shit</t>
  </si>
  <si>
    <t>October:</t>
  </si>
  <si>
    <t>Liquor</t>
  </si>
  <si>
    <t>November:</t>
  </si>
  <si>
    <t>General</t>
  </si>
  <si>
    <t>December:</t>
  </si>
  <si>
    <t>Lookahead:</t>
  </si>
  <si>
    <t>Today:</t>
  </si>
  <si>
    <t>Actual</t>
  </si>
  <si>
    <t>Diff</t>
  </si>
  <si>
    <t>Percent</t>
  </si>
  <si>
    <t>Open:</t>
  </si>
  <si>
    <t>Flow:</t>
  </si>
  <si>
    <t>Interest:</t>
  </si>
  <si>
    <t>Close:</t>
  </si>
  <si>
    <t>Daily Averages</t>
  </si>
  <si>
    <t>Start:</t>
  </si>
  <si>
    <t>Target</t>
  </si>
  <si>
    <t>ING</t>
  </si>
  <si>
    <t>Weekly Averages</t>
  </si>
  <si>
    <t>Now:</t>
  </si>
  <si>
    <t>Total</t>
  </si>
  <si>
    <t>IN:</t>
  </si>
  <si>
    <t>OUT:</t>
  </si>
  <si>
    <t>FLOW:</t>
  </si>
  <si>
    <t>TOTAL:</t>
  </si>
  <si>
    <t>Big-Time Expenses</t>
  </si>
  <si>
    <t>Amount</t>
  </si>
  <si>
    <t>Monthly Expenses</t>
  </si>
  <si>
    <t>Totals</t>
  </si>
  <si>
    <t>Start</t>
  </si>
  <si>
    <t>End</t>
  </si>
  <si>
    <t>To Date</t>
  </si>
  <si>
    <t>This year:</t>
  </si>
  <si>
    <t>Phone bill</t>
  </si>
  <si>
    <t>This month:</t>
  </si>
  <si>
    <t>So far:</t>
  </si>
  <si>
    <t>Instructions</t>
  </si>
  <si>
    <t>To add monthly expenses, copy and paste the rightmost two cells down and fill in the remaining information.</t>
  </si>
  <si>
    <t>Source</t>
  </si>
  <si>
    <t>Account</t>
  </si>
  <si>
    <t>Interest</t>
  </si>
  <si>
    <t>To record income, enter the required information. "Source" is one of the accounts set on the home page. To record transfers, set two records, one of which is negative.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</si>
</sst>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\$#,##0.00;[RED]\$#,##0.00"/>
    <numFmt numFmtId="166" formatCode="[$$-409]#,##0.00;[RED]\-[$$-409]#,##0.00"/>
    <numFmt numFmtId="167" formatCode="MMM\ D"/>
    <numFmt numFmtId="168" formatCode="MM/DD/YY"/>
    <numFmt numFmtId="169" formatCode="#,##0.00;[RED]#,##0.00"/>
    <numFmt numFmtId="170" formatCode="DDDD&quot;, &quot;MMMM\ D\."/>
    <numFmt numFmtId="171" formatCode="0.00%"/>
    <numFmt numFmtId="172" formatCode="MMMM\ D"/>
    <numFmt numFmtId="173" formatCode="\(0.0%\)"/>
    <numFmt numFmtId="174" formatCode="&quot; $&quot;#,##0.00\ ;&quot; $(&quot;#,##0.00\);&quot; $-&quot;#\ ;@\ "/>
    <numFmt numFmtId="175" formatCode="MMM\ DD"/>
    <numFmt numFmtId="176" formatCode="0"/>
    <numFmt numFmtId="177" formatCode="D\-MMM"/>
    <numFmt numFmtId="178" formatCode="\$#,##0.00\ ;[RED]&quot;($&quot;#,##0.00\)"/>
    <numFmt numFmtId="179" formatCode="D/M/YYYY"/>
    <numFmt numFmtId="180" formatCode="MMM\-YY"/>
  </numFmts>
  <fonts count="26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9"/>
      <name val="Times New Roman"/>
      <family val="1"/>
    </font>
    <font>
      <i/>
      <sz val="10"/>
      <name val="Times New Roman"/>
      <family val="1"/>
    </font>
    <font>
      <b/>
      <sz val="10"/>
      <color indexed="5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1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53">
    <xf numFmtId="164" fontId="1" fillId="0" borderId="0" xfId="0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6" fontId="20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4" fontId="20" fillId="0" borderId="11" xfId="0" applyFont="1" applyFill="1" applyBorder="1" applyAlignment="1">
      <alignment horizontal="left"/>
    </xf>
    <xf numFmtId="165" fontId="20" fillId="24" borderId="12" xfId="0" applyNumberFormat="1" applyFont="1" applyFill="1" applyBorder="1" applyAlignment="1">
      <alignment horizontal="right"/>
    </xf>
    <xf numFmtId="169" fontId="19" fillId="24" borderId="13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 horizontal="right"/>
    </xf>
    <xf numFmtId="164" fontId="19" fillId="0" borderId="10" xfId="0" applyFont="1" applyFill="1" applyBorder="1" applyAlignment="1">
      <alignment horizontal="center"/>
    </xf>
    <xf numFmtId="164" fontId="20" fillId="8" borderId="14" xfId="0" applyFont="1" applyFill="1" applyBorder="1" applyAlignment="1">
      <alignment horizontal="right"/>
    </xf>
    <xf numFmtId="165" fontId="19" fillId="8" borderId="15" xfId="0" applyNumberFormat="1" applyFont="1" applyFill="1" applyBorder="1" applyAlignment="1">
      <alignment/>
    </xf>
    <xf numFmtId="166" fontId="20" fillId="0" borderId="0" xfId="0" applyNumberFormat="1" applyFont="1" applyAlignment="1">
      <alignment horizontal="left"/>
    </xf>
    <xf numFmtId="164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164" fontId="21" fillId="8" borderId="16" xfId="0" applyFont="1" applyFill="1" applyBorder="1" applyAlignment="1">
      <alignment horizontal="right"/>
    </xf>
    <xf numFmtId="170" fontId="21" fillId="8" borderId="17" xfId="0" applyNumberFormat="1" applyFont="1" applyFill="1" applyBorder="1" applyAlignment="1">
      <alignment horizontal="left"/>
    </xf>
    <xf numFmtId="165" fontId="21" fillId="8" borderId="18" xfId="0" applyNumberFormat="1" applyFont="1" applyFill="1" applyBorder="1" applyAlignment="1">
      <alignment horizontal="left" indent="1"/>
    </xf>
    <xf numFmtId="164" fontId="20" fillId="8" borderId="19" xfId="0" applyFont="1" applyFill="1" applyBorder="1" applyAlignment="1">
      <alignment horizontal="right"/>
    </xf>
    <xf numFmtId="165" fontId="19" fillId="8" borderId="20" xfId="0" applyNumberFormat="1" applyFont="1" applyFill="1" applyBorder="1" applyAlignment="1">
      <alignment/>
    </xf>
    <xf numFmtId="171" fontId="19" fillId="0" borderId="0" xfId="0" applyNumberFormat="1" applyFont="1" applyAlignment="1">
      <alignment horizontal="right"/>
    </xf>
    <xf numFmtId="164" fontId="20" fillId="24" borderId="19" xfId="0" applyFont="1" applyFill="1" applyBorder="1" applyAlignment="1">
      <alignment horizontal="right"/>
    </xf>
    <xf numFmtId="164" fontId="19" fillId="24" borderId="0" xfId="0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/>
    </xf>
    <xf numFmtId="164" fontId="22" fillId="24" borderId="21" xfId="0" applyNumberFormat="1" applyFont="1" applyFill="1" applyBorder="1" applyAlignment="1">
      <alignment horizontal="left" indent="1"/>
    </xf>
    <xf numFmtId="164" fontId="19" fillId="8" borderId="19" xfId="0" applyFont="1" applyFill="1" applyBorder="1" applyAlignment="1">
      <alignment horizontal="right"/>
    </xf>
    <xf numFmtId="165" fontId="22" fillId="24" borderId="21" xfId="0" applyNumberFormat="1" applyFont="1" applyFill="1" applyBorder="1" applyAlignment="1">
      <alignment horizontal="left" indent="1"/>
    </xf>
    <xf numFmtId="164" fontId="20" fillId="8" borderId="22" xfId="0" applyFont="1" applyFill="1" applyBorder="1" applyAlignment="1">
      <alignment horizontal="right"/>
    </xf>
    <xf numFmtId="165" fontId="19" fillId="8" borderId="23" xfId="0" applyNumberFormat="1" applyFont="1" applyFill="1" applyBorder="1" applyAlignment="1">
      <alignment/>
    </xf>
    <xf numFmtId="164" fontId="20" fillId="25" borderId="14" xfId="0" applyFont="1" applyFill="1" applyBorder="1" applyAlignment="1">
      <alignment horizontal="right"/>
    </xf>
    <xf numFmtId="165" fontId="19" fillId="25" borderId="15" xfId="0" applyNumberFormat="1" applyFont="1" applyFill="1" applyBorder="1" applyAlignment="1">
      <alignment/>
    </xf>
    <xf numFmtId="164" fontId="20" fillId="24" borderId="24" xfId="0" applyFont="1" applyFill="1" applyBorder="1" applyAlignment="1">
      <alignment horizontal="right"/>
    </xf>
    <xf numFmtId="164" fontId="19" fillId="24" borderId="25" xfId="0" applyFont="1" applyFill="1" applyBorder="1" applyAlignment="1">
      <alignment horizontal="center"/>
    </xf>
    <xf numFmtId="165" fontId="19" fillId="24" borderId="26" xfId="0" applyNumberFormat="1" applyFont="1" applyFill="1" applyBorder="1" applyAlignment="1">
      <alignment/>
    </xf>
    <xf numFmtId="165" fontId="22" fillId="24" borderId="27" xfId="0" applyNumberFormat="1" applyFont="1" applyFill="1" applyBorder="1" applyAlignment="1">
      <alignment horizontal="left" indent="1"/>
    </xf>
    <xf numFmtId="164" fontId="20" fillId="25" borderId="19" xfId="0" applyFont="1" applyFill="1" applyBorder="1" applyAlignment="1">
      <alignment horizontal="right"/>
    </xf>
    <xf numFmtId="165" fontId="19" fillId="25" borderId="20" xfId="0" applyNumberFormat="1" applyFont="1" applyFill="1" applyBorder="1" applyAlignment="1">
      <alignment/>
    </xf>
    <xf numFmtId="164" fontId="23" fillId="8" borderId="28" xfId="0" applyFont="1" applyFill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4" fontId="20" fillId="21" borderId="14" xfId="0" applyFont="1" applyFill="1" applyBorder="1" applyAlignment="1">
      <alignment horizontal="center"/>
    </xf>
    <xf numFmtId="164" fontId="20" fillId="21" borderId="29" xfId="0" applyFont="1" applyFill="1" applyBorder="1" applyAlignment="1">
      <alignment horizontal="center"/>
    </xf>
    <xf numFmtId="165" fontId="20" fillId="21" borderId="30" xfId="0" applyNumberFormat="1" applyFont="1" applyFill="1" applyBorder="1" applyAlignment="1">
      <alignment horizontal="center"/>
    </xf>
    <xf numFmtId="164" fontId="20" fillId="21" borderId="15" xfId="0" applyFont="1" applyFill="1" applyBorder="1" applyAlignment="1">
      <alignment horizontal="center"/>
    </xf>
    <xf numFmtId="164" fontId="19" fillId="24" borderId="19" xfId="0" applyFont="1" applyFill="1" applyBorder="1" applyAlignment="1">
      <alignment horizontal="center"/>
    </xf>
    <xf numFmtId="165" fontId="19" fillId="24" borderId="31" xfId="0" applyNumberFormat="1" applyFont="1" applyFill="1" applyBorder="1" applyAlignment="1">
      <alignment horizontal="center"/>
    </xf>
    <xf numFmtId="166" fontId="19" fillId="24" borderId="0" xfId="0" applyNumberFormat="1" applyFont="1" applyFill="1" applyBorder="1" applyAlignment="1">
      <alignment horizontal="center"/>
    </xf>
    <xf numFmtId="166" fontId="19" fillId="24" borderId="20" xfId="0" applyNumberFormat="1" applyFont="1" applyFill="1" applyBorder="1" applyAlignment="1">
      <alignment horizontal="center"/>
    </xf>
    <xf numFmtId="164" fontId="19" fillId="20" borderId="19" xfId="0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5" fontId="19" fillId="20" borderId="31" xfId="0" applyNumberFormat="1" applyFont="1" applyFill="1" applyBorder="1" applyAlignment="1">
      <alignment horizontal="center"/>
    </xf>
    <xf numFmtId="166" fontId="19" fillId="20" borderId="0" xfId="0" applyNumberFormat="1" applyFont="1" applyFill="1" applyBorder="1" applyAlignment="1">
      <alignment horizontal="center"/>
    </xf>
    <xf numFmtId="166" fontId="19" fillId="20" borderId="20" xfId="0" applyNumberFormat="1" applyFont="1" applyFill="1" applyBorder="1" applyAlignment="1">
      <alignment horizontal="center"/>
    </xf>
    <xf numFmtId="165" fontId="19" fillId="20" borderId="32" xfId="0" applyNumberFormat="1" applyFont="1" applyFill="1" applyBorder="1" applyAlignment="1">
      <alignment horizontal="center"/>
    </xf>
    <xf numFmtId="165" fontId="19" fillId="24" borderId="32" xfId="0" applyNumberFormat="1" applyFont="1" applyFill="1" applyBorder="1" applyAlignment="1">
      <alignment horizontal="center"/>
    </xf>
    <xf numFmtId="164" fontId="19" fillId="20" borderId="22" xfId="0" applyFont="1" applyFill="1" applyBorder="1" applyAlignment="1">
      <alignment horizontal="center"/>
    </xf>
    <xf numFmtId="164" fontId="19" fillId="20" borderId="10" xfId="0" applyFont="1" applyFill="1" applyBorder="1" applyAlignment="1">
      <alignment horizontal="center"/>
    </xf>
    <xf numFmtId="165" fontId="19" fillId="20" borderId="11" xfId="0" applyNumberFormat="1" applyFont="1" applyFill="1" applyBorder="1" applyAlignment="1">
      <alignment horizontal="center"/>
    </xf>
    <xf numFmtId="166" fontId="19" fillId="20" borderId="10" xfId="0" applyNumberFormat="1" applyFont="1" applyFill="1" applyBorder="1" applyAlignment="1">
      <alignment horizontal="center"/>
    </xf>
    <xf numFmtId="166" fontId="19" fillId="20" borderId="23" xfId="0" applyNumberFormat="1" applyFont="1" applyFill="1" applyBorder="1" applyAlignment="1">
      <alignment horizontal="center"/>
    </xf>
    <xf numFmtId="164" fontId="20" fillId="25" borderId="22" xfId="0" applyFont="1" applyFill="1" applyBorder="1" applyAlignment="1">
      <alignment horizontal="right"/>
    </xf>
    <xf numFmtId="165" fontId="19" fillId="25" borderId="23" xfId="0" applyNumberFormat="1" applyFont="1" applyFill="1" applyBorder="1" applyAlignment="1">
      <alignment/>
    </xf>
    <xf numFmtId="164" fontId="20" fillId="0" borderId="0" xfId="0" applyFont="1" applyAlignment="1">
      <alignment horizontal="left"/>
    </xf>
    <xf numFmtId="164" fontId="20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right"/>
    </xf>
    <xf numFmtId="172" fontId="19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164" fontId="20" fillId="26" borderId="14" xfId="0" applyFont="1" applyFill="1" applyBorder="1" applyAlignment="1">
      <alignment horizontal="right"/>
    </xf>
    <xf numFmtId="165" fontId="19" fillId="26" borderId="15" xfId="0" applyNumberFormat="1" applyFont="1" applyFill="1" applyBorder="1" applyAlignment="1">
      <alignment/>
    </xf>
    <xf numFmtId="171" fontId="19" fillId="24" borderId="20" xfId="0" applyNumberFormat="1" applyFont="1" applyFill="1" applyBorder="1" applyAlignment="1">
      <alignment horizontal="center"/>
    </xf>
    <xf numFmtId="164" fontId="20" fillId="26" borderId="19" xfId="0" applyFont="1" applyFill="1" applyBorder="1" applyAlignment="1">
      <alignment horizontal="right"/>
    </xf>
    <xf numFmtId="165" fontId="19" fillId="26" borderId="20" xfId="0" applyNumberFormat="1" applyFont="1" applyFill="1" applyBorder="1" applyAlignment="1">
      <alignment/>
    </xf>
    <xf numFmtId="171" fontId="19" fillId="20" borderId="20" xfId="0" applyNumberFormat="1" applyFont="1" applyFill="1" applyBorder="1" applyAlignment="1">
      <alignment horizontal="center"/>
    </xf>
    <xf numFmtId="164" fontId="19" fillId="26" borderId="19" xfId="0" applyFont="1" applyFill="1" applyBorder="1" applyAlignment="1">
      <alignment horizontal="right"/>
    </xf>
    <xf numFmtId="164" fontId="20" fillId="26" borderId="22" xfId="0" applyFont="1" applyFill="1" applyBorder="1" applyAlignment="1">
      <alignment horizontal="right"/>
    </xf>
    <xf numFmtId="165" fontId="19" fillId="26" borderId="23" xfId="0" applyNumberFormat="1" applyFont="1" applyFill="1" applyBorder="1" applyAlignment="1">
      <alignment/>
    </xf>
    <xf numFmtId="171" fontId="19" fillId="20" borderId="23" xfId="0" applyNumberFormat="1" applyFont="1" applyFill="1" applyBorder="1" applyAlignment="1">
      <alignment horizontal="center"/>
    </xf>
    <xf numFmtId="165" fontId="19" fillId="26" borderId="20" xfId="17" applyNumberFormat="1" applyFont="1" applyFill="1" applyBorder="1" applyAlignment="1" applyProtection="1">
      <alignment/>
      <protection/>
    </xf>
    <xf numFmtId="164" fontId="20" fillId="0" borderId="10" xfId="0" applyFont="1" applyBorder="1" applyAlignment="1">
      <alignment horizontal="left" vertical="center"/>
    </xf>
    <xf numFmtId="167" fontId="19" fillId="0" borderId="0" xfId="0" applyNumberFormat="1" applyFont="1" applyAlignment="1">
      <alignment horizontal="right"/>
    </xf>
    <xf numFmtId="175" fontId="19" fillId="24" borderId="20" xfId="0" applyNumberFormat="1" applyFont="1" applyFill="1" applyBorder="1" applyAlignment="1">
      <alignment horizontal="center"/>
    </xf>
    <xf numFmtId="175" fontId="19" fillId="20" borderId="20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175" fontId="19" fillId="20" borderId="23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27" borderId="14" xfId="0" applyFont="1" applyFill="1" applyBorder="1" applyAlignment="1">
      <alignment horizontal="right"/>
    </xf>
    <xf numFmtId="165" fontId="19" fillId="27" borderId="15" xfId="0" applyNumberFormat="1" applyFont="1" applyFill="1" applyBorder="1" applyAlignment="1">
      <alignment/>
    </xf>
    <xf numFmtId="164" fontId="20" fillId="27" borderId="19" xfId="0" applyFont="1" applyFill="1" applyBorder="1" applyAlignment="1">
      <alignment horizontal="right"/>
    </xf>
    <xf numFmtId="165" fontId="19" fillId="27" borderId="20" xfId="0" applyNumberFormat="1" applyFont="1" applyFill="1" applyBorder="1" applyAlignment="1">
      <alignment/>
    </xf>
    <xf numFmtId="164" fontId="20" fillId="27" borderId="22" xfId="0" applyFont="1" applyFill="1" applyBorder="1" applyAlignment="1">
      <alignment horizontal="right"/>
    </xf>
    <xf numFmtId="165" fontId="19" fillId="27" borderId="23" xfId="0" applyNumberFormat="1" applyFont="1" applyFill="1" applyBorder="1" applyAlignment="1">
      <alignment/>
    </xf>
    <xf numFmtId="164" fontId="20" fillId="20" borderId="14" xfId="0" applyFont="1" applyFill="1" applyBorder="1" applyAlignment="1">
      <alignment horizontal="right"/>
    </xf>
    <xf numFmtId="165" fontId="19" fillId="20" borderId="15" xfId="0" applyNumberFormat="1" applyFont="1" applyFill="1" applyBorder="1" applyAlignment="1">
      <alignment/>
    </xf>
    <xf numFmtId="164" fontId="20" fillId="20" borderId="19" xfId="0" applyFont="1" applyFill="1" applyBorder="1" applyAlignment="1">
      <alignment horizontal="right"/>
    </xf>
    <xf numFmtId="165" fontId="19" fillId="20" borderId="20" xfId="0" applyNumberFormat="1" applyFont="1" applyFill="1" applyBorder="1" applyAlignment="1">
      <alignment/>
    </xf>
    <xf numFmtId="164" fontId="20" fillId="20" borderId="22" xfId="0" applyFont="1" applyFill="1" applyBorder="1" applyAlignment="1">
      <alignment horizontal="right"/>
    </xf>
    <xf numFmtId="165" fontId="19" fillId="20" borderId="23" xfId="0" applyNumberFormat="1" applyFont="1" applyFill="1" applyBorder="1" applyAlignment="1">
      <alignment/>
    </xf>
    <xf numFmtId="176" fontId="19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164" fontId="19" fillId="0" borderId="0" xfId="0" applyFont="1" applyFill="1" applyBorder="1" applyAlignment="1">
      <alignment/>
    </xf>
    <xf numFmtId="177" fontId="19" fillId="0" borderId="0" xfId="0" applyNumberFormat="1" applyFont="1" applyAlignment="1">
      <alignment/>
    </xf>
    <xf numFmtId="177" fontId="19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75" fontId="24" fillId="0" borderId="0" xfId="0" applyNumberFormat="1" applyFont="1" applyAlignment="1">
      <alignment horizontal="center"/>
    </xf>
    <xf numFmtId="165" fontId="24" fillId="0" borderId="10" xfId="0" applyNumberFormat="1" applyFont="1" applyBorder="1" applyAlignment="1">
      <alignment horizontal="left"/>
    </xf>
    <xf numFmtId="175" fontId="24" fillId="0" borderId="10" xfId="0" applyNumberFormat="1" applyFont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0" xfId="0" applyFont="1" applyBorder="1" applyAlignment="1">
      <alignment/>
    </xf>
    <xf numFmtId="165" fontId="25" fillId="0" borderId="0" xfId="0" applyNumberFormat="1" applyFont="1" applyAlignment="1">
      <alignment horizontal="center"/>
    </xf>
    <xf numFmtId="164" fontId="25" fillId="0" borderId="0" xfId="0" applyFont="1" applyAlignment="1">
      <alignment horizontal="center"/>
    </xf>
    <xf numFmtId="175" fontId="25" fillId="0" borderId="0" xfId="0" applyNumberFormat="1" applyFont="1" applyBorder="1" applyAlignment="1">
      <alignment horizontal="center"/>
    </xf>
    <xf numFmtId="164" fontId="25" fillId="9" borderId="33" xfId="0" applyFont="1" applyFill="1" applyBorder="1" applyAlignment="1">
      <alignment horizontal="right"/>
    </xf>
    <xf numFmtId="178" fontId="24" fillId="9" borderId="34" xfId="0" applyNumberFormat="1" applyFont="1" applyFill="1" applyBorder="1" applyAlignment="1">
      <alignment horizontal="right"/>
    </xf>
    <xf numFmtId="179" fontId="24" fillId="0" borderId="0" xfId="0" applyNumberFormat="1" applyFont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165" fontId="24" fillId="0" borderId="0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 horizontal="right"/>
    </xf>
    <xf numFmtId="164" fontId="24" fillId="0" borderId="10" xfId="0" applyFont="1" applyBorder="1" applyAlignment="1">
      <alignment/>
    </xf>
    <xf numFmtId="179" fontId="25" fillId="0" borderId="0" xfId="0" applyNumberFormat="1" applyFont="1" applyAlignment="1">
      <alignment horizontal="center"/>
    </xf>
    <xf numFmtId="164" fontId="25" fillId="9" borderId="14" xfId="0" applyFont="1" applyFill="1" applyBorder="1" applyAlignment="1">
      <alignment horizontal="right"/>
    </xf>
    <xf numFmtId="165" fontId="24" fillId="9" borderId="15" xfId="0" applyNumberFormat="1" applyFont="1" applyFill="1" applyBorder="1" applyAlignment="1">
      <alignment horizontal="right"/>
    </xf>
    <xf numFmtId="164" fontId="24" fillId="0" borderId="0" xfId="0" applyFont="1" applyAlignment="1">
      <alignment horizontal="center"/>
    </xf>
    <xf numFmtId="180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4" fontId="25" fillId="9" borderId="19" xfId="0" applyFont="1" applyFill="1" applyBorder="1" applyAlignment="1">
      <alignment horizontal="right"/>
    </xf>
    <xf numFmtId="165" fontId="24" fillId="9" borderId="20" xfId="0" applyNumberFormat="1" applyFont="1" applyFill="1" applyBorder="1" applyAlignment="1">
      <alignment/>
    </xf>
    <xf numFmtId="164" fontId="25" fillId="9" borderId="22" xfId="0" applyFont="1" applyFill="1" applyBorder="1" applyAlignment="1">
      <alignment horizontal="right"/>
    </xf>
    <xf numFmtId="165" fontId="24" fillId="9" borderId="23" xfId="0" applyNumberFormat="1" applyFont="1" applyFill="1" applyBorder="1" applyAlignment="1">
      <alignment horizontal="right"/>
    </xf>
    <xf numFmtId="164" fontId="25" fillId="24" borderId="35" xfId="0" applyFont="1" applyFill="1" applyBorder="1" applyAlignment="1">
      <alignment/>
    </xf>
    <xf numFmtId="164" fontId="24" fillId="24" borderId="36" xfId="0" applyFont="1" applyFill="1" applyBorder="1" applyAlignment="1">
      <alignment vertical="top" wrapText="1"/>
    </xf>
    <xf numFmtId="179" fontId="24" fillId="0" borderId="0" xfId="0" applyNumberFormat="1" applyFont="1" applyAlignment="1">
      <alignment horizontal="center"/>
    </xf>
    <xf numFmtId="165" fontId="24" fillId="0" borderId="10" xfId="0" applyNumberFormat="1" applyFont="1" applyBorder="1" applyAlignment="1">
      <alignment/>
    </xf>
    <xf numFmtId="179" fontId="24" fillId="0" borderId="10" xfId="0" applyNumberFormat="1" applyFont="1" applyBorder="1" applyAlignment="1">
      <alignment horizontal="center"/>
    </xf>
    <xf numFmtId="175" fontId="25" fillId="0" borderId="0" xfId="0" applyNumberFormat="1" applyFont="1" applyAlignment="1">
      <alignment horizontal="center"/>
    </xf>
    <xf numFmtId="178" fontId="24" fillId="9" borderId="15" xfId="0" applyNumberFormat="1" applyFont="1" applyFill="1" applyBorder="1" applyAlignment="1">
      <alignment horizontal="right"/>
    </xf>
    <xf numFmtId="164" fontId="24" fillId="0" borderId="0" xfId="0" applyFont="1" applyBorder="1" applyAlignment="1">
      <alignment horizontal="left" vertical="center"/>
    </xf>
    <xf numFmtId="165" fontId="24" fillId="0" borderId="0" xfId="0" applyNumberFormat="1" applyFont="1" applyFill="1" applyBorder="1" applyAlignment="1">
      <alignment/>
    </xf>
    <xf numFmtId="179" fontId="24" fillId="0" borderId="0" xfId="0" applyNumberFormat="1" applyFont="1" applyFill="1" applyBorder="1" applyAlignment="1">
      <alignment horizontal="center"/>
    </xf>
    <xf numFmtId="175" fontId="24" fillId="0" borderId="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3">
    <dxf>
      <font>
        <b val="0"/>
        <i val="0"/>
        <color rgb="FF0000FF"/>
      </font>
      <border/>
    </dxf>
    <dxf>
      <font>
        <b/>
        <i val="0"/>
        <color rgb="FFFF66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4A4A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67"/>
  <sheetViews>
    <sheetView showGridLines="0" tabSelected="1" defaultGridColor="0" colorId="41" workbookViewId="0" topLeftCell="A1">
      <selection activeCell="F1" sqref="F1"/>
    </sheetView>
  </sheetViews>
  <sheetFormatPr defaultColWidth="5.00390625" defaultRowHeight="14.25" customHeight="1"/>
  <cols>
    <col min="1" max="1" width="1.25" style="1" customWidth="1"/>
    <col min="2" max="2" width="7.00390625" style="1" customWidth="1"/>
    <col min="3" max="3" width="5.50390625" style="2" customWidth="1"/>
    <col min="4" max="4" width="1.25" style="1" customWidth="1"/>
    <col min="5" max="5" width="4.875" style="3" customWidth="1"/>
    <col min="6" max="6" width="15.625" style="1" customWidth="1"/>
    <col min="7" max="7" width="3.25390625" style="4" customWidth="1"/>
    <col min="8" max="8" width="4.125" style="4" customWidth="1"/>
    <col min="9" max="9" width="3.875" style="5" customWidth="1"/>
    <col min="10" max="10" width="1.37890625" style="6" customWidth="1"/>
    <col min="11" max="11" width="6.125" style="4" customWidth="1"/>
    <col min="12" max="12" width="5.25390625" style="1" customWidth="1"/>
    <col min="13" max="13" width="5.625" style="2" customWidth="1"/>
    <col min="14" max="14" width="5.50390625" style="2" customWidth="1"/>
    <col min="15" max="15" width="5.625" style="1" customWidth="1"/>
    <col min="16" max="16" width="5.50390625" style="1" customWidth="1"/>
    <col min="17" max="17" width="1.37890625" style="1" customWidth="1"/>
    <col min="18" max="18" width="4.875" style="1" customWidth="1"/>
    <col min="19" max="19" width="4.625" style="7" customWidth="1"/>
    <col min="20" max="20" width="4.875" style="1" customWidth="1"/>
    <col min="21" max="16384" width="4.875" style="1" customWidth="1"/>
  </cols>
  <sheetData>
    <row r="2" spans="2:18" ht="14.25" customHeight="1">
      <c r="B2" s="8" t="s">
        <v>0</v>
      </c>
      <c r="E2" s="9" t="s">
        <v>1</v>
      </c>
      <c r="F2" s="10"/>
      <c r="G2" s="11"/>
      <c r="H2" s="11"/>
      <c r="I2" s="12"/>
      <c r="K2" s="13" t="s">
        <v>2</v>
      </c>
      <c r="L2" s="13"/>
      <c r="M2" s="14" t="s">
        <v>3</v>
      </c>
      <c r="N2" s="15">
        <v>2.21</v>
      </c>
      <c r="O2" s="16" t="s">
        <v>4</v>
      </c>
      <c r="P2" s="17">
        <v>2009</v>
      </c>
      <c r="R2" s="7"/>
    </row>
    <row r="3" spans="2:16" ht="14.25" customHeight="1">
      <c r="B3" s="18" t="s">
        <v>5</v>
      </c>
      <c r="C3" s="19">
        <f>SUM(Variadic_Amount)</f>
        <v>378.51</v>
      </c>
      <c r="E3" s="20" t="s">
        <v>6</v>
      </c>
      <c r="F3" s="21" t="s">
        <v>7</v>
      </c>
      <c r="G3" s="21" t="s">
        <v>8</v>
      </c>
      <c r="H3" s="21" t="s">
        <v>9</v>
      </c>
      <c r="I3" s="22" t="s">
        <v>10</v>
      </c>
      <c r="K3" s="23" t="s">
        <v>11</v>
      </c>
      <c r="L3" s="24">
        <f>O21</f>
        <v>39975</v>
      </c>
      <c r="M3" s="24"/>
      <c r="N3" s="25" t="str">
        <f>IF(C26+C32&lt;0,"You are in debt.",IF(SUM(O32:O37)&gt;0,"You are under budget.","You are over budget."))</f>
        <v>You are in debt.</v>
      </c>
      <c r="O3" s="25"/>
      <c r="P3" s="25"/>
    </row>
    <row r="4" spans="2:16" ht="14.25" customHeight="1">
      <c r="B4" s="26" t="s">
        <v>12</v>
      </c>
      <c r="C4" s="27">
        <f>Monthly_Exp!J5</f>
        <v>208.32</v>
      </c>
      <c r="E4" s="3">
        <v>6.61</v>
      </c>
      <c r="F4" s="1" t="s">
        <v>13</v>
      </c>
      <c r="G4" s="4" t="s">
        <v>14</v>
      </c>
      <c r="H4" s="4" t="s">
        <v>15</v>
      </c>
      <c r="I4" s="5">
        <v>39814</v>
      </c>
      <c r="J4" s="28"/>
      <c r="K4" s="29" t="str">
        <f>L23</f>
        <v>Eating</v>
      </c>
      <c r="L4" s="30" t="s">
        <v>16</v>
      </c>
      <c r="M4" s="31" t="str">
        <f>IF(N14=0,"zero.",IF(P23&gt;1,IF(P23&gt;1.33,"obscene.","too high."),IF(P23&lt;0.66,"pathetic.","fine.")))</f>
        <v>pathetic.</v>
      </c>
      <c r="N4" s="32" t="str">
        <f>IF(P23&gt;1,IF(OR(P23&gt;1.33,N14&gt;M14),IF(N14&gt;M14,"I give up.","Halt until "&amp;TEXT(P32,"mmmm dd .")),"Eat less."),IF(P23&lt;0.66,IF(N23&gt;0.33,"Got anorexia?",IF(N23&gt;0,"Decrease budget to about "&amp;TEXT(TRUNC((M14-P14)/50+1)*50,"$0."),"")),""))</f>
        <v>Got anorexia?</v>
      </c>
      <c r="O4" s="32"/>
      <c r="P4" s="32"/>
    </row>
    <row r="5" spans="2:16" ht="14.25" customHeight="1">
      <c r="B5" s="33" t="s">
        <v>17</v>
      </c>
      <c r="C5" s="27">
        <f>Monthly_Exp!J4</f>
        <v>34.72</v>
      </c>
      <c r="E5" s="3">
        <v>18.95</v>
      </c>
      <c r="F5" s="1" t="s">
        <v>18</v>
      </c>
      <c r="G5" s="4" t="s">
        <v>14</v>
      </c>
      <c r="H5" s="4" t="s">
        <v>15</v>
      </c>
      <c r="I5" s="5">
        <v>39815</v>
      </c>
      <c r="J5" s="28"/>
      <c r="K5" s="29" t="str">
        <f>L24</f>
        <v>Music</v>
      </c>
      <c r="L5" s="30" t="s">
        <v>16</v>
      </c>
      <c r="M5" s="31" t="str">
        <f>IF(N15=0,"zero.",IF(P24&gt;1,IF(P24&gt;1.33,"obscene.","too high."),IF(P24&lt;0.66,"pathetic.","fine.")))</f>
        <v>zero.</v>
      </c>
      <c r="N5" s="34">
        <f>IF(P24&gt;1,IF(OR(P24&gt;1.33,N15&gt;M15),IF(N15&gt;M15,"I give up.","Halt until "&amp;TEXT(P33,"mmmm dd .")),"Get a life, hippie."),IF(P24&lt;0.66,IF(N24&gt;0.33,"Ba da ba dum ba da dum!",IF(N24&gt;0,"Decrease budget to about "&amp;TEXT(TRUNC((M15-P15)/50+1)*50,"$0."),"")),""))</f>
      </c>
      <c r="O5" s="34"/>
      <c r="P5" s="34"/>
    </row>
    <row r="6" spans="2:16" ht="14.25" customHeight="1">
      <c r="B6" s="35" t="s">
        <v>19</v>
      </c>
      <c r="C6" s="36">
        <f>Big_Exp!G3</f>
        <v>0</v>
      </c>
      <c r="E6" s="3">
        <v>35</v>
      </c>
      <c r="F6" s="1" t="s">
        <v>20</v>
      </c>
      <c r="G6" s="4" t="s">
        <v>14</v>
      </c>
      <c r="H6" s="4" t="s">
        <v>21</v>
      </c>
      <c r="I6" s="5">
        <v>39819</v>
      </c>
      <c r="J6" s="28"/>
      <c r="K6" s="29" t="str">
        <f>L25</f>
        <v>Electronics</v>
      </c>
      <c r="L6" s="30" t="s">
        <v>16</v>
      </c>
      <c r="M6" s="31" t="str">
        <f>IF(N16=0,"zero.",IF(P25&gt;1,IF(P25&gt;1.33,"obscene.","too high."),IF(P25&lt;0.66,"pathetic.","fine.")))</f>
        <v>zero.</v>
      </c>
      <c r="N6" s="34">
        <f>IF(P25&gt;1,IF(OR(P25&gt;1.33,N16&gt;M16),IF(N16&gt;M16,"I give up.","Halt until "&amp;TEXT(P34,"mmmm dd .")),"At least you LOOK rich."),IF(P25&lt;0.66,IF(N25&gt;0.33,"C'mon, get another microwave.",IF(N25&gt;0,"Decrease budget to about "&amp;TEXT(TRUNC((M16-P16)/50+1)*50,"$0."),"")),""))</f>
      </c>
      <c r="O6" s="34"/>
      <c r="P6" s="34"/>
    </row>
    <row r="7" spans="5:16" ht="14.25" customHeight="1">
      <c r="E7" s="3">
        <v>40</v>
      </c>
      <c r="F7" s="1" t="s">
        <v>22</v>
      </c>
      <c r="G7" s="4" t="s">
        <v>14</v>
      </c>
      <c r="H7" s="4" t="s">
        <v>21</v>
      </c>
      <c r="I7" s="5">
        <v>39821</v>
      </c>
      <c r="J7" s="28"/>
      <c r="K7" s="29" t="str">
        <f>L26</f>
        <v>Truck shit</v>
      </c>
      <c r="L7" s="30" t="s">
        <v>16</v>
      </c>
      <c r="M7" s="31" t="str">
        <f>IF(N17=0,"zero.",IF(P26&gt;1,IF(P26&gt;1.33,"obscene.","too high."),IF(P26&lt;0.66,"pathetic.","fine.")))</f>
        <v>zero.</v>
      </c>
      <c r="N7" s="34">
        <f>IF(P26&gt;1,IF(OR(P26&gt;1.33,N17&gt;M17),IF(N17&gt;M17,"I give up.","Halt until "&amp;TEXT(P35,"mmmm dd .")),"Give up on that thing already."),IF(P26&lt;0.66,IF(N26&gt;0.33,"Vroom, vroom, buddy.",IF(N26&gt;0,"Decrease budget to about "&amp;TEXT(TRUNC((M17-P17)/50+1)*50,"$0."),"")),""))</f>
      </c>
      <c r="O7" s="34"/>
      <c r="P7" s="34"/>
    </row>
    <row r="8" spans="2:16" ht="14.25" customHeight="1">
      <c r="B8" s="8" t="s">
        <v>23</v>
      </c>
      <c r="E8" s="3">
        <v>11.21</v>
      </c>
      <c r="F8" s="1" t="s">
        <v>24</v>
      </c>
      <c r="G8" s="4" t="s">
        <v>14</v>
      </c>
      <c r="H8" s="4" t="s">
        <v>15</v>
      </c>
      <c r="I8" s="5">
        <v>39830</v>
      </c>
      <c r="J8" s="28"/>
      <c r="K8" s="29" t="str">
        <f>L27</f>
        <v>Liquor</v>
      </c>
      <c r="L8" s="30" t="s">
        <v>16</v>
      </c>
      <c r="M8" s="31" t="str">
        <f>IF(N18=0,"zero.",IF(P27&gt;1,IF(P27&gt;1.33,"obscene.","too high."),IF(P27&lt;0.66,"pathetic.","fine.")))</f>
        <v>pathetic.</v>
      </c>
      <c r="N8" s="34" t="str">
        <f>IF(P27&gt;1,IF(OR(P27&gt;1.33,N18&gt;M18),IF(N18&gt;M18,"I give up.","Halt until "&amp;TEXT(P36,"mmmm dd .")),"Sober up, ya lousy drunk."),IF(P27&lt;0.66,IF(N27&gt;0.33,"Drink more, loser.",IF(N27&gt;0,"Decrease budget to about "&amp;TEXT(TRUNC((M18-P18)/50+1)*50,"$0."),"")),""))</f>
        <v>Drink more, loser.</v>
      </c>
      <c r="O8" s="34"/>
      <c r="P8" s="34"/>
    </row>
    <row r="9" spans="2:16" ht="14.25" customHeight="1">
      <c r="B9" s="37" t="s">
        <v>25</v>
      </c>
      <c r="C9" s="38">
        <f>SUMPRODUCT(Income_Amount*(Income_Date&gt;=DATE(P2,1,1))*(Income_Date&lt;DATE(P2,2,1)))</f>
        <v>3.68</v>
      </c>
      <c r="E9" s="3">
        <v>18.3</v>
      </c>
      <c r="F9" s="1" t="s">
        <v>26</v>
      </c>
      <c r="G9" s="4" t="s">
        <v>14</v>
      </c>
      <c r="H9" s="4" t="s">
        <v>27</v>
      </c>
      <c r="I9" s="5">
        <v>39830</v>
      </c>
      <c r="J9" s="28"/>
      <c r="K9" s="39" t="str">
        <f>L28</f>
        <v>General</v>
      </c>
      <c r="L9" s="40" t="s">
        <v>16</v>
      </c>
      <c r="M9" s="41" t="str">
        <f>IF(N19=0,"zero.",IF(P28&gt;1,IF(P28&gt;1.33,"obscene.","too high."),IF(P28&lt;0.66,"pathetic.","fine.")))</f>
        <v>pathetic.</v>
      </c>
      <c r="N9" s="42" t="str">
        <f>IF(P28&gt;1,IF(OR(P28&gt;1.33,N19&gt;M19),IF(N19&gt;M19,"I give up.","Halt until "&amp;TEXT(P37,"mmmm dd.")),"Fuck you."),IF(P28&lt;0.66,IF(N28&gt;0.33,"You need more stuff.",IF(N28&gt;0,"Decrease budget to about "&amp;TEXT(TRUNC((M19-P19)/50+1)*50,"$0."),"")),""))</f>
        <v>You need more stuff.</v>
      </c>
      <c r="O9" s="42"/>
      <c r="P9" s="42"/>
    </row>
    <row r="10" spans="2:16" ht="14.25" customHeight="1">
      <c r="B10" s="43" t="s">
        <v>28</v>
      </c>
      <c r="C10" s="44">
        <f>SUMPRODUCT(Income_Amount*(Income_Date&gt;=DATE(P2,2,1))*(Income_Date&lt;DATE(P2,3,1)))</f>
        <v>0</v>
      </c>
      <c r="E10" s="3">
        <v>17</v>
      </c>
      <c r="F10" s="1" t="s">
        <v>18</v>
      </c>
      <c r="G10" s="4" t="s">
        <v>14</v>
      </c>
      <c r="H10" s="4" t="s">
        <v>15</v>
      </c>
      <c r="I10" s="5">
        <v>39830</v>
      </c>
      <c r="K10" s="45" t="str">
        <f>IF(C47-SUM(M14:M19)-C4-C6&gt;0,"You have budgeted "&amp;TEXT(C47-SUM(M14:M19)-C6-C4,"$0.00")&amp;" into savings to total "&amp;TEXT(C47-SUM(M14:M19)-C6-C4+C23+C29,"$0.00")&amp;".","You have budgeted more than you'll make.")</f>
        <v>You have budgeted more than you'll make.</v>
      </c>
      <c r="L10" s="45"/>
      <c r="M10" s="45"/>
      <c r="N10" s="45"/>
      <c r="O10" s="45"/>
      <c r="P10" s="45"/>
    </row>
    <row r="11" spans="2:9" ht="14.25" customHeight="1">
      <c r="B11" s="43" t="s">
        <v>29</v>
      </c>
      <c r="C11" s="44">
        <f>SUMPRODUCT(Income_Amount*(Income_Date&gt;=DATE(P2,3,1))*(Income_Date&lt;DATE(P2,4,1)))</f>
        <v>0</v>
      </c>
      <c r="E11" s="3">
        <v>24.07</v>
      </c>
      <c r="F11" s="1" t="s">
        <v>30</v>
      </c>
      <c r="G11" s="4" t="s">
        <v>14</v>
      </c>
      <c r="H11" s="4" t="s">
        <v>21</v>
      </c>
      <c r="I11" s="5">
        <v>39832</v>
      </c>
    </row>
    <row r="12" spans="2:16" ht="14.25" customHeight="1">
      <c r="B12" s="43" t="s">
        <v>31</v>
      </c>
      <c r="C12" s="44">
        <f>SUMPRODUCT(Income_Amount*(Income_Date&gt;=DATE(P2,4,1))*(Income_Date&lt;DATE(P2,5,1)))</f>
        <v>0</v>
      </c>
      <c r="E12" s="3">
        <v>6.71</v>
      </c>
      <c r="F12" s="1" t="s">
        <v>32</v>
      </c>
      <c r="G12" s="4" t="s">
        <v>14</v>
      </c>
      <c r="H12" s="4" t="s">
        <v>15</v>
      </c>
      <c r="I12" s="5">
        <v>39833</v>
      </c>
      <c r="J12" s="5"/>
      <c r="K12" s="46" t="s">
        <v>33</v>
      </c>
      <c r="L12" s="47"/>
      <c r="N12" s="48" t="s">
        <v>34</v>
      </c>
      <c r="O12" s="48"/>
      <c r="P12" s="49">
        <f>SUM(P14:P19)</f>
        <v>4141.887267080745</v>
      </c>
    </row>
    <row r="13" spans="2:16" ht="14.25" customHeight="1">
      <c r="B13" s="43" t="s">
        <v>35</v>
      </c>
      <c r="C13" s="44">
        <f>SUMPRODUCT(Income_Amount*(Income_Date&gt;=DATE(P2,5,1))*(Income_Date&lt;DATE(P2,6,1)))</f>
        <v>0</v>
      </c>
      <c r="E13" s="3">
        <v>35</v>
      </c>
      <c r="F13" s="1" t="s">
        <v>20</v>
      </c>
      <c r="G13" s="4" t="s">
        <v>14</v>
      </c>
      <c r="H13" s="4" t="s">
        <v>21</v>
      </c>
      <c r="I13" s="5">
        <v>39835</v>
      </c>
      <c r="J13" s="5"/>
      <c r="K13" s="50" t="s">
        <v>9</v>
      </c>
      <c r="L13" s="51" t="s">
        <v>7</v>
      </c>
      <c r="M13" s="52" t="s">
        <v>36</v>
      </c>
      <c r="N13" s="51" t="s">
        <v>37</v>
      </c>
      <c r="O13" s="51" t="s">
        <v>38</v>
      </c>
      <c r="P13" s="53" t="s">
        <v>39</v>
      </c>
    </row>
    <row r="14" spans="2:16" ht="14.25" customHeight="1">
      <c r="B14" s="43" t="s">
        <v>40</v>
      </c>
      <c r="C14" s="44">
        <f>SUMPRODUCT(Income_Amount*(Income_Date&gt;=DATE(P2,6,1))*(Income_Date&lt;DATE(P2,7,1)))</f>
        <v>0</v>
      </c>
      <c r="E14" s="3">
        <v>25.66</v>
      </c>
      <c r="F14" s="1" t="s">
        <v>41</v>
      </c>
      <c r="G14" s="4" t="s">
        <v>42</v>
      </c>
      <c r="H14" s="4" t="s">
        <v>21</v>
      </c>
      <c r="I14" s="5">
        <v>39836</v>
      </c>
      <c r="J14" s="5"/>
      <c r="K14" s="54" t="s">
        <v>15</v>
      </c>
      <c r="L14" s="30" t="s">
        <v>43</v>
      </c>
      <c r="M14" s="55">
        <v>1900</v>
      </c>
      <c r="N14" s="56">
        <f>SUMIF(Variadic_Code,K14,Variadic_Amount)</f>
        <v>60.48</v>
      </c>
      <c r="O14" s="56">
        <f>N14/P21</f>
        <v>137.11304347826086</v>
      </c>
      <c r="P14" s="57">
        <f>M14-O14</f>
        <v>1762.8869565217392</v>
      </c>
    </row>
    <row r="15" spans="2:16" ht="14.25" customHeight="1">
      <c r="B15" s="43" t="s">
        <v>44</v>
      </c>
      <c r="C15" s="44">
        <f>SUMPRODUCT(Income_Amount*(Income_Date&gt;=DATE(P2,7,1))*(Income_Date&lt;DATE(P2,8,1)))</f>
        <v>0</v>
      </c>
      <c r="E15" s="3">
        <v>140</v>
      </c>
      <c r="F15" s="1" t="s">
        <v>45</v>
      </c>
      <c r="G15" s="4" t="s">
        <v>14</v>
      </c>
      <c r="H15" s="4" t="s">
        <v>21</v>
      </c>
      <c r="I15" s="5">
        <v>39842</v>
      </c>
      <c r="J15" s="5"/>
      <c r="K15" s="58" t="s">
        <v>46</v>
      </c>
      <c r="L15" s="59" t="s">
        <v>47</v>
      </c>
      <c r="M15" s="60">
        <v>250</v>
      </c>
      <c r="N15" s="61">
        <f>SUMIF(Variadic_Code,K15,Variadic_Amount)</f>
        <v>0</v>
      </c>
      <c r="O15" s="61">
        <f>N15/P21</f>
        <v>0</v>
      </c>
      <c r="P15" s="62">
        <f>M15-O15</f>
        <v>250</v>
      </c>
    </row>
    <row r="16" spans="2:16" ht="14.25" customHeight="1">
      <c r="B16" s="43" t="s">
        <v>48</v>
      </c>
      <c r="C16" s="44">
        <f>SUMPRODUCT(Income_Amount*(Income_Date&gt;=DATE(P2,8,1))*(Income_Date&lt;DATE(P2,9,1)))</f>
        <v>0</v>
      </c>
      <c r="J16" s="5"/>
      <c r="K16" s="54" t="s">
        <v>49</v>
      </c>
      <c r="L16" s="30" t="s">
        <v>50</v>
      </c>
      <c r="M16" s="55">
        <v>850</v>
      </c>
      <c r="N16" s="56">
        <f>SUMIF(Variadic_Code,K16,Variadic_Amount)</f>
        <v>0</v>
      </c>
      <c r="O16" s="56">
        <f>N16/P21</f>
        <v>0</v>
      </c>
      <c r="P16" s="57">
        <f>M16-O16</f>
        <v>850</v>
      </c>
    </row>
    <row r="17" spans="2:16" ht="14.25" customHeight="1">
      <c r="B17" s="43" t="s">
        <v>51</v>
      </c>
      <c r="C17" s="44">
        <f>SUMPRODUCT(Income_Amount*(Income_Date&gt;=DATE(P2,9,1))*(Income_Date&lt;DATE(P2,10,1)))</f>
        <v>0</v>
      </c>
      <c r="J17" s="5"/>
      <c r="K17" s="58" t="s">
        <v>52</v>
      </c>
      <c r="L17" s="59" t="s">
        <v>53</v>
      </c>
      <c r="M17" s="63">
        <v>450</v>
      </c>
      <c r="N17" s="61">
        <f>SUMIF(Variadic_Code,K17,Variadic_Amount)</f>
        <v>0</v>
      </c>
      <c r="O17" s="61">
        <f>N17/P21</f>
        <v>0</v>
      </c>
      <c r="P17" s="62">
        <f>M17-O17</f>
        <v>450</v>
      </c>
    </row>
    <row r="18" spans="2:16" ht="14.25" customHeight="1">
      <c r="B18" s="43" t="s">
        <v>54</v>
      </c>
      <c r="C18" s="44">
        <f>SUMPRODUCT(Income_Amount*(Income_Date&gt;=DATE(P2,10,1))*(Income_Date&lt;DATE(P2,11,1)))</f>
        <v>0</v>
      </c>
      <c r="J18" s="5"/>
      <c r="K18" s="54" t="s">
        <v>27</v>
      </c>
      <c r="L18" s="30" t="s">
        <v>55</v>
      </c>
      <c r="M18" s="64">
        <v>200</v>
      </c>
      <c r="N18" s="56">
        <f>SUMIF(Variadic_Code,K18,Variadic_Amount)</f>
        <v>18.3</v>
      </c>
      <c r="O18" s="56">
        <f>N18/P21</f>
        <v>41.48757763975155</v>
      </c>
      <c r="P18" s="57">
        <f>M18-O18</f>
        <v>158.51242236024845</v>
      </c>
    </row>
    <row r="19" spans="2:16" ht="14.25" customHeight="1">
      <c r="B19" s="43" t="s">
        <v>56</v>
      </c>
      <c r="C19" s="44">
        <f>SUMPRODUCT(Income_Amount*(Income_Date&gt;=DATE(P2,11,1))*(Income_Date&lt;DATE(P2,12,1)))</f>
        <v>0</v>
      </c>
      <c r="J19" s="5"/>
      <c r="K19" s="65" t="s">
        <v>21</v>
      </c>
      <c r="L19" s="66" t="s">
        <v>57</v>
      </c>
      <c r="M19" s="67">
        <v>1350</v>
      </c>
      <c r="N19" s="68">
        <f>SUMIF(Variadic_Code,K19,Variadic_Amount)</f>
        <v>299.73</v>
      </c>
      <c r="O19" s="68">
        <f>N19/P21</f>
        <v>679.5121118012422</v>
      </c>
      <c r="P19" s="69">
        <f>M19-O19</f>
        <v>670.4878881987578</v>
      </c>
    </row>
    <row r="20" spans="2:10" ht="14.25" customHeight="1">
      <c r="B20" s="70" t="s">
        <v>58</v>
      </c>
      <c r="C20" s="71">
        <f>SUMPRODUCT(Income_Amount*(Income_Date&gt;=DATE(P2,12,1))*(Income_Date&lt;DATE(P2+1,1,1)))</f>
        <v>0</v>
      </c>
      <c r="J20" s="5"/>
    </row>
    <row r="21" spans="10:16" ht="14.25" customHeight="1">
      <c r="J21" s="5"/>
      <c r="K21" s="72" t="s">
        <v>37</v>
      </c>
      <c r="L21" s="73" t="s">
        <v>59</v>
      </c>
      <c r="M21" s="74">
        <v>0</v>
      </c>
      <c r="N21" s="75" t="s">
        <v>60</v>
      </c>
      <c r="O21" s="76">
        <f ca="1">TODAY()+M21</f>
        <v>39975</v>
      </c>
      <c r="P21" s="77">
        <f>MAX(0.01,MIN((O21-O30)/(365+O30-DATE(P2,1,1)),1))</f>
        <v>0.4410958904109589</v>
      </c>
    </row>
    <row r="22" spans="2:16" ht="14.25" customHeight="1">
      <c r="B22" s="8" t="s">
        <v>14</v>
      </c>
      <c r="J22" s="5"/>
      <c r="K22" s="50" t="s">
        <v>9</v>
      </c>
      <c r="L22" s="51" t="s">
        <v>7</v>
      </c>
      <c r="M22" s="52" t="s">
        <v>36</v>
      </c>
      <c r="N22" s="51" t="s">
        <v>61</v>
      </c>
      <c r="O22" s="51" t="s">
        <v>62</v>
      </c>
      <c r="P22" s="53" t="s">
        <v>63</v>
      </c>
    </row>
    <row r="23" spans="2:16" ht="14.25" customHeight="1">
      <c r="B23" s="78" t="s">
        <v>64</v>
      </c>
      <c r="C23" s="79">
        <v>500</v>
      </c>
      <c r="J23" s="5"/>
      <c r="K23" s="54" t="str">
        <f>K14</f>
        <v>FFOOD</v>
      </c>
      <c r="L23" s="30" t="str">
        <f>L14</f>
        <v>Eating</v>
      </c>
      <c r="M23" s="55">
        <f>M14*P21</f>
        <v>838.082191780822</v>
      </c>
      <c r="N23" s="56">
        <f>SUMIF(Variadic_Code,K23,Variadic_Amount)</f>
        <v>60.48</v>
      </c>
      <c r="O23" s="56">
        <f>M23-N23</f>
        <v>777.602191780822</v>
      </c>
      <c r="P23" s="80">
        <f>IF(M23&gt;0,N23/M23,1)</f>
        <v>0.07216475972540044</v>
      </c>
    </row>
    <row r="24" spans="2:16" ht="14.25" customHeight="1">
      <c r="B24" s="81" t="s">
        <v>65</v>
      </c>
      <c r="C24" s="82">
        <f>SUMIF(Income_Account,B22,Income_Amount)-SUMIF(Variadic_Account,B22,Variadic_Amount)-C6</f>
        <v>-352.85</v>
      </c>
      <c r="J24" s="5"/>
      <c r="K24" s="58" t="str">
        <f>K15</f>
        <v>MUSIC</v>
      </c>
      <c r="L24" s="59" t="str">
        <f>L15</f>
        <v>Music</v>
      </c>
      <c r="M24" s="60">
        <f>M15*P21</f>
        <v>110.27397260273973</v>
      </c>
      <c r="N24" s="61">
        <f>SUMIF(Variadic_Code,K24,Variadic_Amount)</f>
        <v>0</v>
      </c>
      <c r="O24" s="61">
        <f>M24-N24</f>
        <v>110.27397260273973</v>
      </c>
      <c r="P24" s="83">
        <f>IF(M24&gt;0,N24/M24,1)</f>
        <v>0</v>
      </c>
    </row>
    <row r="25" spans="2:16" ht="14.25" customHeight="1">
      <c r="B25" s="84" t="s">
        <v>66</v>
      </c>
      <c r="C25" s="82">
        <f>SUMIF(Income_Transfers!C4:C104,"Interest - "&amp;B22,Income_Transfers!B4:B104)</f>
        <v>0</v>
      </c>
      <c r="J25" s="5"/>
      <c r="K25" s="54" t="str">
        <f>K16</f>
        <v>ELEC</v>
      </c>
      <c r="L25" s="30" t="str">
        <f>L16</f>
        <v>Electronics</v>
      </c>
      <c r="M25" s="55">
        <f>M16*P21</f>
        <v>374.9315068493151</v>
      </c>
      <c r="N25" s="56">
        <f>SUMIF(Variadic_Code,K25,Variadic_Amount)</f>
        <v>0</v>
      </c>
      <c r="O25" s="56">
        <f>M25-N25</f>
        <v>374.9315068493151</v>
      </c>
      <c r="P25" s="80">
        <f>IF(M25&gt;0,N25/M25,1)</f>
        <v>0</v>
      </c>
    </row>
    <row r="26" spans="2:16" ht="14.25" customHeight="1">
      <c r="B26" s="85" t="s">
        <v>67</v>
      </c>
      <c r="C26" s="86">
        <f>C23+C24</f>
        <v>147.14999999999998</v>
      </c>
      <c r="J26" s="28"/>
      <c r="K26" s="58" t="str">
        <f>K17</f>
        <v>GAS</v>
      </c>
      <c r="L26" s="59" t="str">
        <f>L17</f>
        <v>Truck shit</v>
      </c>
      <c r="M26" s="63">
        <f>M17*P21</f>
        <v>198.49315068493152</v>
      </c>
      <c r="N26" s="61">
        <f>SUMIF(Variadic_Code,K26,Variadic_Amount)</f>
        <v>0</v>
      </c>
      <c r="O26" s="61">
        <f>M26-N26</f>
        <v>198.49315068493152</v>
      </c>
      <c r="P26" s="83">
        <f>IF(M26&gt;0,N26/M26,1)</f>
        <v>0</v>
      </c>
    </row>
    <row r="27" spans="10:16" ht="14.25" customHeight="1">
      <c r="J27" s="28"/>
      <c r="K27" s="54" t="str">
        <f>K18</f>
        <v>LIQR</v>
      </c>
      <c r="L27" s="30" t="str">
        <f>L18</f>
        <v>Liquor</v>
      </c>
      <c r="M27" s="64">
        <f>M18*P21</f>
        <v>88.21917808219179</v>
      </c>
      <c r="N27" s="56">
        <f>SUMIF(Variadic_Code,K27,Variadic_Amount)</f>
        <v>18.3</v>
      </c>
      <c r="O27" s="56">
        <f>M27-N27</f>
        <v>69.91917808219179</v>
      </c>
      <c r="P27" s="80">
        <f>IF(M27&gt;0,N27/M27,1)</f>
        <v>0.20743788819875775</v>
      </c>
    </row>
    <row r="28" spans="2:16" ht="14.25" customHeight="1">
      <c r="B28" s="8" t="s">
        <v>42</v>
      </c>
      <c r="J28" s="28"/>
      <c r="K28" s="65" t="str">
        <f>K19</f>
        <v>MISC</v>
      </c>
      <c r="L28" s="66" t="str">
        <f>L19</f>
        <v>General</v>
      </c>
      <c r="M28" s="67">
        <f>M19*P21</f>
        <v>595.4794520547946</v>
      </c>
      <c r="N28" s="68">
        <f>SUMIF(Variadic_Code,K28,Variadic_Amount)</f>
        <v>299.73</v>
      </c>
      <c r="O28" s="68">
        <f>M28-N28</f>
        <v>295.7494520547946</v>
      </c>
      <c r="P28" s="87">
        <f>IF(M28&gt;0,N28/M28,1)</f>
        <v>0.5033423050379572</v>
      </c>
    </row>
    <row r="29" spans="2:3" ht="14.25" customHeight="1">
      <c r="B29" s="78" t="s">
        <v>64</v>
      </c>
      <c r="C29" s="79">
        <v>0</v>
      </c>
    </row>
    <row r="30" spans="2:15" ht="14.25" customHeight="1">
      <c r="B30" s="81" t="s">
        <v>65</v>
      </c>
      <c r="C30" s="88">
        <f>SUMIF(Income_Account,B28,Income_Amount)-SUMIF(Variadic_Account,B28,Variadic_Amount)-C4</f>
        <v>-233.98</v>
      </c>
      <c r="K30" s="89" t="s">
        <v>68</v>
      </c>
      <c r="L30" s="89"/>
      <c r="N30" s="75" t="s">
        <v>69</v>
      </c>
      <c r="O30" s="76">
        <v>39814</v>
      </c>
    </row>
    <row r="31" spans="2:16" ht="14.25" customHeight="1">
      <c r="B31" s="84" t="s">
        <v>66</v>
      </c>
      <c r="C31" s="82">
        <f>SUMIF(Income_Transfers!C4:C104,"Interest - "&amp;B28,Income_Transfers!B4:B104)</f>
        <v>0</v>
      </c>
      <c r="K31" s="50" t="s">
        <v>9</v>
      </c>
      <c r="L31" s="51" t="s">
        <v>7</v>
      </c>
      <c r="M31" s="52" t="s">
        <v>36</v>
      </c>
      <c r="N31" s="51" t="s">
        <v>61</v>
      </c>
      <c r="O31" s="51" t="s">
        <v>62</v>
      </c>
      <c r="P31" s="53" t="s">
        <v>70</v>
      </c>
    </row>
    <row r="32" spans="2:16" ht="14.25" customHeight="1">
      <c r="B32" s="85" t="s">
        <v>67</v>
      </c>
      <c r="C32" s="86">
        <f>C29+C30</f>
        <v>-233.98</v>
      </c>
      <c r="J32" s="90"/>
      <c r="K32" s="54" t="str">
        <f>K14</f>
        <v>FFOOD</v>
      </c>
      <c r="L32" s="30" t="str">
        <f>L14</f>
        <v>Eating</v>
      </c>
      <c r="M32" s="55">
        <f>M14/365</f>
        <v>5.205479452054795</v>
      </c>
      <c r="N32" s="56">
        <f>O14/365</f>
        <v>0.37565217391304345</v>
      </c>
      <c r="O32" s="56">
        <f>M32-N32</f>
        <v>4.829827278141751</v>
      </c>
      <c r="P32" s="91">
        <f ca="1">IF(M14&gt;0,DATE(P2,1,1)+365*N14/M14,TODAY())</f>
        <v>39825.61852631579</v>
      </c>
    </row>
    <row r="33" spans="10:16" ht="14.25" customHeight="1">
      <c r="J33" s="90"/>
      <c r="K33" s="58" t="str">
        <f>K15</f>
        <v>MUSIC</v>
      </c>
      <c r="L33" s="59" t="str">
        <f>L15</f>
        <v>Music</v>
      </c>
      <c r="M33" s="60">
        <f>M15/365</f>
        <v>0.684931506849315</v>
      </c>
      <c r="N33" s="61">
        <f>O15/365</f>
        <v>0</v>
      </c>
      <c r="O33" s="61">
        <f>M33-N33</f>
        <v>0.684931506849315</v>
      </c>
      <c r="P33" s="92">
        <f ca="1">IF(M15&gt;0,DATE(P2,1,1)+365*N15/M15,TODAY()-1)</f>
        <v>39814</v>
      </c>
    </row>
    <row r="34" spans="2:17" ht="14.25" customHeight="1">
      <c r="B34" s="8" t="s">
        <v>71</v>
      </c>
      <c r="J34" s="90"/>
      <c r="K34" s="54" t="str">
        <f>K16</f>
        <v>ELEC</v>
      </c>
      <c r="L34" s="30" t="str">
        <f>L16</f>
        <v>Electronics</v>
      </c>
      <c r="M34" s="55">
        <f>M16/365</f>
        <v>2.328767123287671</v>
      </c>
      <c r="N34" s="56">
        <f>O16/365</f>
        <v>0</v>
      </c>
      <c r="O34" s="56">
        <f>M34-N34</f>
        <v>2.328767123287671</v>
      </c>
      <c r="P34" s="91">
        <f ca="1">IF(M16&gt;0,DATE(P2,1,1)+365*N16/M16,TODAY()-1)</f>
        <v>39814</v>
      </c>
      <c r="Q34" s="93"/>
    </row>
    <row r="35" spans="2:16" ht="14.25" customHeight="1">
      <c r="B35" s="78" t="s">
        <v>64</v>
      </c>
      <c r="C35" s="79">
        <v>1000</v>
      </c>
      <c r="J35" s="90"/>
      <c r="K35" s="58" t="str">
        <f>K17</f>
        <v>GAS</v>
      </c>
      <c r="L35" s="59" t="str">
        <f>L17</f>
        <v>Truck shit</v>
      </c>
      <c r="M35" s="63">
        <f>M17/365</f>
        <v>1.2328767123287672</v>
      </c>
      <c r="N35" s="61">
        <f>O17/365</f>
        <v>0</v>
      </c>
      <c r="O35" s="61">
        <f>M35-N35</f>
        <v>1.2328767123287672</v>
      </c>
      <c r="P35" s="92">
        <f ca="1">IF(M17&gt;0,DATE(P2,1,1)+365*N17/M17,TODAY()-1)</f>
        <v>39814</v>
      </c>
    </row>
    <row r="36" spans="2:17" ht="14.25" customHeight="1">
      <c r="B36" s="81" t="s">
        <v>65</v>
      </c>
      <c r="C36" s="88">
        <f>SUMIF(Income_Account,B34,Income_Amount)-SUMIF(Variadic_Account,B34,Variadic_Amount)</f>
        <v>3.68</v>
      </c>
      <c r="J36" s="90"/>
      <c r="K36" s="54" t="str">
        <f>K18</f>
        <v>LIQR</v>
      </c>
      <c r="L36" s="30" t="str">
        <f>L18</f>
        <v>Liquor</v>
      </c>
      <c r="M36" s="64">
        <f>M18/365</f>
        <v>0.547945205479452</v>
      </c>
      <c r="N36" s="56">
        <f>O18/365</f>
        <v>0.11366459627329191</v>
      </c>
      <c r="O36" s="56">
        <f>M36-N36</f>
        <v>0.43428060920616013</v>
      </c>
      <c r="P36" s="91">
        <f ca="1">IF(M18&gt;0,DATE(P2,1,1)+365*N18/M18,TODAY()-1)</f>
        <v>39847.3975</v>
      </c>
      <c r="Q36" s="93"/>
    </row>
    <row r="37" spans="2:16" ht="14.25" customHeight="1">
      <c r="B37" s="84" t="s">
        <v>66</v>
      </c>
      <c r="C37" s="82">
        <f>SUMIF(Income_Transfers!C4:C104,"Interest - "&amp;B34,Income_Transfers!B4:B104)</f>
        <v>0</v>
      </c>
      <c r="J37" s="90"/>
      <c r="K37" s="65" t="str">
        <f>K19</f>
        <v>MISC</v>
      </c>
      <c r="L37" s="66" t="str">
        <f>L19</f>
        <v>General</v>
      </c>
      <c r="M37" s="67">
        <f>M19/365</f>
        <v>3.6986301369863015</v>
      </c>
      <c r="N37" s="68">
        <f>O19/365</f>
        <v>1.8616770186335403</v>
      </c>
      <c r="O37" s="68">
        <f>M37-N37</f>
        <v>1.8369531183527612</v>
      </c>
      <c r="P37" s="94">
        <f>IF(M19&gt;0,O21-O28/M37,O21-1)</f>
        <v>39895.03811111111</v>
      </c>
    </row>
    <row r="38" spans="2:14" ht="14.25" customHeight="1">
      <c r="B38" s="85" t="s">
        <v>67</v>
      </c>
      <c r="C38" s="86">
        <f>C35+C36</f>
        <v>1003.68</v>
      </c>
      <c r="D38" s="2"/>
      <c r="M38" s="95"/>
      <c r="N38" s="96"/>
    </row>
    <row r="39" spans="3:15" ht="14.25" customHeight="1">
      <c r="C39" s="1"/>
      <c r="K39" s="89" t="s">
        <v>72</v>
      </c>
      <c r="L39" s="89"/>
      <c r="N39" s="75" t="s">
        <v>73</v>
      </c>
      <c r="O39" s="97" t="e">
        <f ca="1">"Week "&amp;WEEKNUM(TODAY(),0)</f>
        <v>#NAME?</v>
      </c>
    </row>
    <row r="40" spans="2:16" ht="14.25" customHeight="1">
      <c r="B40" s="8" t="s">
        <v>74</v>
      </c>
      <c r="K40" s="50" t="s">
        <v>9</v>
      </c>
      <c r="L40" s="51" t="s">
        <v>7</v>
      </c>
      <c r="M40" s="52" t="s">
        <v>36</v>
      </c>
      <c r="N40" s="51" t="s">
        <v>61</v>
      </c>
      <c r="O40" s="51" t="s">
        <v>62</v>
      </c>
      <c r="P40" s="53" t="s">
        <v>70</v>
      </c>
    </row>
    <row r="41" spans="2:16" ht="14.25" customHeight="1">
      <c r="B41" s="98" t="s">
        <v>75</v>
      </c>
      <c r="C41" s="99">
        <f>SUM(C9:C20)</f>
        <v>3.68</v>
      </c>
      <c r="K41" s="54" t="str">
        <f>K23</f>
        <v>FFOOD</v>
      </c>
      <c r="L41" s="30" t="str">
        <f>L23</f>
        <v>Eating</v>
      </c>
      <c r="M41" s="55">
        <f>M32*7</f>
        <v>36.43835616438356</v>
      </c>
      <c r="N41" s="56">
        <f>N32*7</f>
        <v>2.629565217391304</v>
      </c>
      <c r="O41" s="56">
        <f>M41-N41</f>
        <v>33.80879094699226</v>
      </c>
      <c r="P41" s="91" t="e">
        <f>"Week "&amp;WEEKNUM(P32,0)</f>
        <v>#NAME?</v>
      </c>
    </row>
    <row r="42" spans="2:16" ht="14.25" customHeight="1">
      <c r="B42" s="100" t="s">
        <v>76</v>
      </c>
      <c r="C42" s="101">
        <f>SUM(C3:C6)-C5</f>
        <v>586.8299999999999</v>
      </c>
      <c r="K42" s="58" t="str">
        <f>K24</f>
        <v>MUSIC</v>
      </c>
      <c r="L42" s="59" t="str">
        <f>L24</f>
        <v>Music</v>
      </c>
      <c r="M42" s="60">
        <f>M33*7</f>
        <v>4.794520547945205</v>
      </c>
      <c r="N42" s="61">
        <f>N33*7</f>
        <v>0</v>
      </c>
      <c r="O42" s="61">
        <f>M42-N42</f>
        <v>4.794520547945205</v>
      </c>
      <c r="P42" s="92" t="e">
        <f>"Week "&amp;WEEKNUM(P33,0)</f>
        <v>#NAME?</v>
      </c>
    </row>
    <row r="43" spans="2:16" ht="14.25" customHeight="1">
      <c r="B43" s="100" t="s">
        <v>77</v>
      </c>
      <c r="C43" s="101">
        <f>C41-C42</f>
        <v>-583.15</v>
      </c>
      <c r="K43" s="54" t="str">
        <f>K25</f>
        <v>ELEC</v>
      </c>
      <c r="L43" s="30" t="str">
        <f>L25</f>
        <v>Electronics</v>
      </c>
      <c r="M43" s="55">
        <f>M34*7</f>
        <v>16.301369863013697</v>
      </c>
      <c r="N43" s="56">
        <f>N34*7</f>
        <v>0</v>
      </c>
      <c r="O43" s="56">
        <f>M43-N43</f>
        <v>16.301369863013697</v>
      </c>
      <c r="P43" s="91" t="e">
        <f>"Week "&amp;WEEKNUM(P34,0)</f>
        <v>#NAME?</v>
      </c>
    </row>
    <row r="44" spans="2:16" ht="14.25" customHeight="1">
      <c r="B44" s="102" t="s">
        <v>78</v>
      </c>
      <c r="C44" s="103">
        <f>C32+C26+C38</f>
        <v>916.8499999999999</v>
      </c>
      <c r="K44" s="58" t="str">
        <f>K26</f>
        <v>GAS</v>
      </c>
      <c r="L44" s="59" t="str">
        <f>L26</f>
        <v>Truck shit</v>
      </c>
      <c r="M44" s="60">
        <f>M35*7</f>
        <v>8.63013698630137</v>
      </c>
      <c r="N44" s="61">
        <f>N35*7</f>
        <v>0</v>
      </c>
      <c r="O44" s="61">
        <f>M44-N44</f>
        <v>8.63013698630137</v>
      </c>
      <c r="P44" s="92" t="e">
        <f>"Week "&amp;WEEKNUM(P35,0)</f>
        <v>#NAME?</v>
      </c>
    </row>
    <row r="45" spans="11:16" ht="14.25" customHeight="1">
      <c r="K45" s="54" t="str">
        <f>K27</f>
        <v>LIQR</v>
      </c>
      <c r="L45" s="30" t="str">
        <f>L27</f>
        <v>Liquor</v>
      </c>
      <c r="M45" s="55">
        <f>M36*7</f>
        <v>3.835616438356164</v>
      </c>
      <c r="N45" s="56">
        <f>N36*7</f>
        <v>0.7956521739130433</v>
      </c>
      <c r="O45" s="56">
        <f>M45-N45</f>
        <v>3.039964264443121</v>
      </c>
      <c r="P45" s="91" t="e">
        <f>"Week "&amp;WEEKNUM(P36,0)</f>
        <v>#NAME?</v>
      </c>
    </row>
    <row r="46" spans="2:16" ht="14.25" customHeight="1">
      <c r="B46" s="8" t="s">
        <v>33</v>
      </c>
      <c r="K46" s="65" t="str">
        <f>K28</f>
        <v>MISC</v>
      </c>
      <c r="L46" s="66" t="str">
        <f>L28</f>
        <v>General</v>
      </c>
      <c r="M46" s="67">
        <f>M37*7</f>
        <v>25.89041095890411</v>
      </c>
      <c r="N46" s="68">
        <f>N37*7</f>
        <v>13.031739130434783</v>
      </c>
      <c r="O46" s="68">
        <f>M46-N46</f>
        <v>12.858671828469326</v>
      </c>
      <c r="P46" s="94" t="e">
        <f>"Week "&amp;WEEKNUM(P37,0)</f>
        <v>#NAME?</v>
      </c>
    </row>
    <row r="47" spans="2:3" ht="14.25" customHeight="1">
      <c r="B47" s="104" t="s">
        <v>75</v>
      </c>
      <c r="C47" s="105">
        <f>C41/P21</f>
        <v>8.342857142857143</v>
      </c>
    </row>
    <row r="48" spans="2:3" ht="14.25" customHeight="1">
      <c r="B48" s="106" t="s">
        <v>76</v>
      </c>
      <c r="C48" s="107">
        <f>C3/P21+Monthly_Exp!J3+C6</f>
        <v>1274.7527329192546</v>
      </c>
    </row>
    <row r="49" spans="2:3" ht="14.25" customHeight="1">
      <c r="B49" s="106" t="s">
        <v>77</v>
      </c>
      <c r="C49" s="107">
        <f>C47-C48</f>
        <v>-1266.4098757763975</v>
      </c>
    </row>
    <row r="50" spans="2:3" ht="14.25" customHeight="1">
      <c r="B50" s="108" t="s">
        <v>78</v>
      </c>
      <c r="C50" s="109">
        <f>C29+C23+C49</f>
        <v>-766.4098757763975</v>
      </c>
    </row>
    <row r="53" spans="2:3" ht="14.25" customHeight="1">
      <c r="B53" s="7"/>
      <c r="C53" s="110">
        <f>C44/SUM(N32:N37)</f>
        <v>389.98401627433884</v>
      </c>
    </row>
    <row r="54" spans="3:16" ht="14.25" customHeight="1">
      <c r="C54" s="111">
        <f>O21+C53</f>
        <v>40364.98401627434</v>
      </c>
      <c r="P54" s="112"/>
    </row>
    <row r="67" spans="6:7" ht="14.25" customHeight="1">
      <c r="F67" s="113"/>
      <c r="G67" s="114"/>
    </row>
  </sheetData>
  <mergeCells count="13">
    <mergeCell ref="K2:L2"/>
    <mergeCell ref="L3:M3"/>
    <mergeCell ref="N3:P3"/>
    <mergeCell ref="N4:P4"/>
    <mergeCell ref="N5:P5"/>
    <mergeCell ref="N6:P6"/>
    <mergeCell ref="N7:P7"/>
    <mergeCell ref="N8:P8"/>
    <mergeCell ref="N9:P9"/>
    <mergeCell ref="K10:P10"/>
    <mergeCell ref="N12:O12"/>
    <mergeCell ref="K30:L30"/>
    <mergeCell ref="K39:L39"/>
  </mergeCells>
  <conditionalFormatting sqref="N4:N9">
    <cfRule type="cellIs" priority="1" dxfId="0" operator="equal" stopIfTrue="1">
      <formula>"Fix budget or return stuff."</formula>
    </cfRule>
  </conditionalFormatting>
  <conditionalFormatting sqref="O3:P3">
    <cfRule type="cellIs" priority="2" dxfId="1" operator="equal" stopIfTrue="1">
      <formula>"You cannot pay monthly expenses."</formula>
    </cfRule>
    <cfRule type="cellIs" priority="3" dxfId="2" operator="equal" stopIfTrue="1">
      <formula>"You are in debt."</formula>
    </cfRule>
  </conditionalFormatting>
  <conditionalFormatting sqref="N3">
    <cfRule type="cellIs" priority="4" dxfId="1" operator="equal" stopIfTrue="1">
      <formula>"You cannot pay monthly expenses."</formula>
    </cfRule>
    <cfRule type="cellIs" priority="5" dxfId="2" operator="equal" stopIfTrue="1">
      <formula>"You are in debt."</formula>
    </cfRule>
    <cfRule type="cellIs" priority="6" dxfId="2" operator="equal" stopIfTrue="1">
      <formula>"You are over budget."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3"/>
  <headerFooter alignWithMargins="0">
    <oddHeader>&amp;C&amp;"Arial,Regular"Budget 2007
Andrew Poelstra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showGridLines="0" defaultGridColor="0" colorId="41" workbookViewId="0" topLeftCell="A1">
      <selection activeCell="D4" sqref="D4"/>
    </sheetView>
  </sheetViews>
  <sheetFormatPr defaultColWidth="5.00390625" defaultRowHeight="12.75"/>
  <cols>
    <col min="1" max="1" width="4.875" style="115" customWidth="1"/>
    <col min="2" max="2" width="4.875" style="116" customWidth="1"/>
    <col min="3" max="3" width="12.375" style="115" customWidth="1"/>
    <col min="4" max="4" width="4.50390625" style="117" customWidth="1"/>
    <col min="5" max="5" width="5.25390625" style="115" customWidth="1"/>
    <col min="6" max="6" width="5.125" style="115" customWidth="1"/>
    <col min="7" max="7" width="5.75390625" style="115" customWidth="1"/>
    <col min="8" max="16384" width="4.875" style="115" customWidth="1"/>
  </cols>
  <sheetData>
    <row r="2" spans="2:7" ht="12">
      <c r="B2" s="118" t="s">
        <v>79</v>
      </c>
      <c r="C2" s="118"/>
      <c r="D2" s="119"/>
      <c r="E2" s="120"/>
      <c r="F2" s="120"/>
      <c r="G2" s="121"/>
    </row>
    <row r="3" spans="2:7" ht="12">
      <c r="B3" s="122" t="s">
        <v>80</v>
      </c>
      <c r="C3" s="123" t="s">
        <v>7</v>
      </c>
      <c r="D3" s="124" t="s">
        <v>10</v>
      </c>
      <c r="F3" s="125" t="s">
        <v>78</v>
      </c>
      <c r="G3" s="126">
        <f>SUM(B4:B104)</f>
        <v>0</v>
      </c>
    </row>
    <row r="4" spans="5:7" ht="12">
      <c r="E4" s="127"/>
      <c r="F4" s="128"/>
      <c r="G4" s="129"/>
    </row>
    <row r="5" spans="6:7" ht="12">
      <c r="F5" s="129"/>
      <c r="G5" s="129"/>
    </row>
  </sheetData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defaultGridColor="0" colorId="41" workbookViewId="0" topLeftCell="A1">
      <selection activeCell="J4" sqref="J4"/>
    </sheetView>
  </sheetViews>
  <sheetFormatPr defaultColWidth="5.00390625" defaultRowHeight="12.75"/>
  <cols>
    <col min="1" max="2" width="4.875" style="115" customWidth="1"/>
    <col min="3" max="3" width="7.00390625" style="115" customWidth="1"/>
    <col min="4" max="5" width="4.875" style="115" customWidth="1"/>
    <col min="6" max="7" width="5.125" style="115" customWidth="1"/>
    <col min="8" max="8" width="3.875" style="115" customWidth="1"/>
    <col min="9" max="9" width="7.375" style="115" customWidth="1"/>
    <col min="10" max="16384" width="4.875" style="115" customWidth="1"/>
  </cols>
  <sheetData>
    <row r="2" spans="2:9" ht="12">
      <c r="B2" s="118" t="s">
        <v>81</v>
      </c>
      <c r="C2" s="118"/>
      <c r="D2" s="130"/>
      <c r="E2" s="131"/>
      <c r="F2" s="131"/>
      <c r="G2" s="131"/>
      <c r="I2" s="115" t="s">
        <v>82</v>
      </c>
    </row>
    <row r="3" spans="1:10" ht="12">
      <c r="A3" s="123"/>
      <c r="B3" s="122" t="s">
        <v>80</v>
      </c>
      <c r="C3" s="123" t="s">
        <v>7</v>
      </c>
      <c r="D3" s="132" t="s">
        <v>83</v>
      </c>
      <c r="E3" s="132" t="s">
        <v>84</v>
      </c>
      <c r="F3" s="123" t="s">
        <v>74</v>
      </c>
      <c r="G3" s="123" t="s">
        <v>85</v>
      </c>
      <c r="I3" s="133" t="s">
        <v>86</v>
      </c>
      <c r="J3" s="134">
        <f>SUM(F4:F104)</f>
        <v>416.64</v>
      </c>
    </row>
    <row r="4" spans="1:10" ht="12">
      <c r="A4" s="135"/>
      <c r="B4" s="116">
        <v>34.72</v>
      </c>
      <c r="C4" s="115" t="s">
        <v>87</v>
      </c>
      <c r="D4" s="136">
        <v>39814</v>
      </c>
      <c r="E4" s="136">
        <v>40148</v>
      </c>
      <c r="F4" s="137">
        <f>B4*(MONTH(E4)-MONTH(D4)+1)</f>
        <v>416.64</v>
      </c>
      <c r="G4" s="137">
        <f ca="1">MAX(B4*(MIN(MONTH(E4),MONTH(TODAY()))-MONTH(D4)+1),0)</f>
        <v>208.32</v>
      </c>
      <c r="I4" s="138" t="s">
        <v>88</v>
      </c>
      <c r="J4" s="139">
        <f>SUMPRODUCT((B4:B104)*(D4:D104&lt;=Budget_2009!O21)*(E4:E104&gt;=Budget_2009!O21))</f>
        <v>34.72</v>
      </c>
    </row>
    <row r="5" spans="1:10" ht="12">
      <c r="A5" s="135"/>
      <c r="B5" s="116"/>
      <c r="D5" s="136"/>
      <c r="E5" s="136"/>
      <c r="F5" s="137"/>
      <c r="G5" s="137"/>
      <c r="I5" s="140" t="s">
        <v>89</v>
      </c>
      <c r="J5" s="141">
        <f>SUM(G4:G104)</f>
        <v>208.32</v>
      </c>
    </row>
    <row r="6" spans="1:6" ht="12">
      <c r="A6" s="135"/>
      <c r="B6" s="116"/>
      <c r="D6" s="136"/>
      <c r="E6" s="136"/>
      <c r="F6" s="137"/>
    </row>
    <row r="7" spans="1:10" ht="12">
      <c r="A7" s="135"/>
      <c r="B7" s="116"/>
      <c r="D7" s="136"/>
      <c r="E7" s="136"/>
      <c r="F7" s="137"/>
      <c r="I7" s="142" t="s">
        <v>90</v>
      </c>
      <c r="J7" s="142"/>
    </row>
    <row r="8" spans="1:10" ht="12" customHeight="1">
      <c r="A8" s="135"/>
      <c r="B8" s="116"/>
      <c r="D8" s="136"/>
      <c r="E8" s="136"/>
      <c r="F8" s="137"/>
      <c r="I8" s="143" t="s">
        <v>91</v>
      </c>
      <c r="J8" s="143"/>
    </row>
    <row r="9" spans="1:10" ht="12">
      <c r="A9" s="135"/>
      <c r="B9" s="116"/>
      <c r="D9" s="136"/>
      <c r="E9" s="136"/>
      <c r="F9" s="137"/>
      <c r="I9" s="143"/>
      <c r="J9" s="143"/>
    </row>
    <row r="10" spans="1:10" ht="12">
      <c r="A10" s="135"/>
      <c r="B10" s="116"/>
      <c r="D10" s="136"/>
      <c r="E10" s="136"/>
      <c r="F10" s="137"/>
      <c r="I10" s="143"/>
      <c r="J10" s="143"/>
    </row>
    <row r="11" spans="1:10" ht="12">
      <c r="A11" s="135"/>
      <c r="B11" s="116"/>
      <c r="D11" s="136"/>
      <c r="E11" s="136"/>
      <c r="F11" s="137"/>
      <c r="I11" s="143"/>
      <c r="J11" s="143"/>
    </row>
    <row r="12" spans="1:10" ht="12">
      <c r="A12" s="135"/>
      <c r="B12" s="116"/>
      <c r="D12" s="136"/>
      <c r="E12" s="136"/>
      <c r="F12" s="137"/>
      <c r="I12" s="143"/>
      <c r="J12" s="143"/>
    </row>
    <row r="13" spans="1:10" ht="12">
      <c r="A13" s="135"/>
      <c r="B13" s="116"/>
      <c r="D13" s="136"/>
      <c r="E13" s="136"/>
      <c r="F13" s="137"/>
      <c r="I13" s="143"/>
      <c r="J13" s="143"/>
    </row>
    <row r="14" spans="1:10" ht="12">
      <c r="A14" s="135"/>
      <c r="B14" s="116"/>
      <c r="D14" s="136"/>
      <c r="E14" s="136"/>
      <c r="F14" s="137"/>
      <c r="I14" s="143"/>
      <c r="J14" s="143"/>
    </row>
    <row r="15" spans="1:6" ht="12">
      <c r="A15" s="135"/>
      <c r="B15" s="116"/>
      <c r="D15" s="136"/>
      <c r="E15" s="136"/>
      <c r="F15" s="137"/>
    </row>
    <row r="16" spans="2:6" ht="12">
      <c r="B16" s="116"/>
      <c r="D16" s="136"/>
      <c r="E16" s="136"/>
      <c r="F16" s="137"/>
    </row>
    <row r="17" spans="2:6" ht="12">
      <c r="B17" s="116"/>
      <c r="D17" s="136"/>
      <c r="E17" s="136"/>
      <c r="F17" s="137"/>
    </row>
    <row r="18" spans="2:6" ht="12">
      <c r="B18" s="116"/>
      <c r="D18" s="136"/>
      <c r="E18" s="136"/>
      <c r="F18" s="137"/>
    </row>
    <row r="19" spans="2:6" ht="12">
      <c r="B19" s="116"/>
      <c r="D19" s="136"/>
      <c r="E19" s="136"/>
      <c r="F19" s="137"/>
    </row>
    <row r="20" spans="2:6" ht="12">
      <c r="B20" s="116"/>
      <c r="D20" s="136"/>
      <c r="E20" s="136"/>
      <c r="F20" s="137"/>
    </row>
    <row r="21" spans="2:6" ht="12">
      <c r="B21" s="116"/>
      <c r="D21" s="136"/>
      <c r="E21" s="136"/>
      <c r="F21" s="137"/>
    </row>
    <row r="22" spans="2:6" ht="12">
      <c r="B22" s="116"/>
      <c r="D22" s="136"/>
      <c r="E22" s="136"/>
      <c r="F22" s="137"/>
    </row>
    <row r="23" spans="2:6" ht="12">
      <c r="B23" s="116"/>
      <c r="D23" s="136"/>
      <c r="E23" s="136"/>
      <c r="F23" s="137"/>
    </row>
    <row r="24" spans="2:6" ht="12">
      <c r="B24" s="116"/>
      <c r="D24" s="136"/>
      <c r="E24" s="136"/>
      <c r="F24" s="137"/>
    </row>
    <row r="25" spans="2:6" ht="12">
      <c r="B25" s="116"/>
      <c r="D25" s="136"/>
      <c r="E25" s="136"/>
      <c r="F25" s="137"/>
    </row>
    <row r="26" spans="2:6" ht="12">
      <c r="B26" s="116"/>
      <c r="D26" s="136"/>
      <c r="E26" s="136"/>
      <c r="F26" s="137"/>
    </row>
    <row r="27" spans="2:6" ht="12">
      <c r="B27" s="116"/>
      <c r="D27" s="136"/>
      <c r="E27" s="136"/>
      <c r="F27" s="137"/>
    </row>
    <row r="28" spans="2:6" ht="12">
      <c r="B28" s="116"/>
      <c r="D28" s="136"/>
      <c r="E28" s="136"/>
      <c r="F28" s="137"/>
    </row>
    <row r="29" spans="2:6" ht="12">
      <c r="B29" s="116"/>
      <c r="D29" s="136"/>
      <c r="E29" s="136"/>
      <c r="F29" s="137"/>
    </row>
    <row r="30" spans="2:6" ht="12">
      <c r="B30" s="116"/>
      <c r="D30" s="136"/>
      <c r="E30" s="136"/>
      <c r="F30" s="137"/>
    </row>
    <row r="31" spans="2:6" ht="12">
      <c r="B31" s="116"/>
      <c r="D31" s="136"/>
      <c r="E31" s="136"/>
      <c r="F31" s="137"/>
    </row>
    <row r="32" spans="2:6" ht="12">
      <c r="B32" s="116"/>
      <c r="D32" s="136"/>
      <c r="E32" s="136"/>
      <c r="F32" s="137"/>
    </row>
  </sheetData>
  <mergeCells count="3">
    <mergeCell ref="B2:C2"/>
    <mergeCell ref="I7:J7"/>
    <mergeCell ref="I8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showGridLines="0" defaultGridColor="0" colorId="41" workbookViewId="0" topLeftCell="A1">
      <selection activeCell="C4" sqref="C4"/>
    </sheetView>
  </sheetViews>
  <sheetFormatPr defaultColWidth="5.00390625" defaultRowHeight="12.75"/>
  <cols>
    <col min="1" max="1" width="4.875" style="115" customWidth="1"/>
    <col min="2" max="2" width="6.00390625" style="116" customWidth="1"/>
    <col min="3" max="3" width="11.375" style="115" customWidth="1"/>
    <col min="4" max="4" width="5.25390625" style="144" customWidth="1"/>
    <col min="5" max="5" width="4.125" style="117" customWidth="1"/>
    <col min="6" max="6" width="6.125" style="115" customWidth="1"/>
    <col min="7" max="7" width="7.375" style="115" customWidth="1"/>
    <col min="8" max="8" width="6.25390625" style="115" customWidth="1"/>
    <col min="9" max="9" width="3.75390625" style="115" customWidth="1"/>
    <col min="10" max="10" width="7.375" style="115" customWidth="1"/>
    <col min="11" max="11" width="5.50390625" style="115" customWidth="1"/>
    <col min="12" max="12" width="3.25390625" style="115" customWidth="1"/>
    <col min="13" max="13" width="9.875" style="115" customWidth="1"/>
    <col min="14" max="14" width="10.375" style="115" customWidth="1"/>
    <col min="15" max="15" width="7.125" style="115" customWidth="1"/>
    <col min="16" max="16" width="8.25390625" style="115" customWidth="1"/>
    <col min="17" max="17" width="6.00390625" style="115" customWidth="1"/>
    <col min="18" max="18" width="6.625" style="115" customWidth="1"/>
    <col min="19" max="19" width="7.75390625" style="115" customWidth="1"/>
    <col min="20" max="20" width="3.875" style="115" customWidth="1"/>
    <col min="21" max="21" width="7.00390625" style="115" customWidth="1"/>
    <col min="22" max="22" width="10.125" style="115" customWidth="1"/>
    <col min="23" max="23" width="5.00390625" style="115" customWidth="1"/>
    <col min="24" max="24" width="4.00390625" style="115" customWidth="1"/>
    <col min="25" max="25" width="4.625" style="115" customWidth="1"/>
    <col min="26" max="26" width="11.125" style="115" customWidth="1"/>
    <col min="27" max="27" width="5.875" style="115" customWidth="1"/>
    <col min="28" max="28" width="4.375" style="115" customWidth="1"/>
    <col min="29" max="29" width="5.625" style="115" customWidth="1"/>
    <col min="30" max="30" width="6.375" style="115" customWidth="1"/>
    <col min="31" max="31" width="7.00390625" style="115" customWidth="1"/>
    <col min="32" max="32" width="9.375" style="115" customWidth="1"/>
    <col min="33" max="33" width="10.125" style="115" customWidth="1"/>
    <col min="34" max="34" width="12.50390625" style="115" customWidth="1"/>
    <col min="35" max="35" width="5.00390625" style="115" customWidth="1"/>
    <col min="36" max="36" width="7.50390625" style="115" customWidth="1"/>
    <col min="37" max="37" width="4.00390625" style="115" customWidth="1"/>
    <col min="38" max="38" width="6.50390625" style="115" customWidth="1"/>
    <col min="39" max="39" width="4.625" style="115" customWidth="1"/>
    <col min="40" max="40" width="7.125" style="115" customWidth="1"/>
    <col min="41" max="41" width="11.125" style="115" customWidth="1"/>
    <col min="42" max="42" width="13.625" style="115" customWidth="1"/>
    <col min="43" max="43" width="5.875" style="115" customWidth="1"/>
    <col min="44" max="44" width="8.25390625" style="115" customWidth="1"/>
    <col min="45" max="45" width="4.375" style="115" customWidth="1"/>
    <col min="46" max="46" width="6.75390625" style="115" customWidth="1"/>
    <col min="47" max="47" width="5.625" style="115" customWidth="1"/>
    <col min="48" max="16384" width="4.875" style="115" customWidth="1"/>
  </cols>
  <sheetData>
    <row r="2" spans="2:7" ht="12">
      <c r="B2" s="145" t="s">
        <v>23</v>
      </c>
      <c r="C2" s="131"/>
      <c r="D2" s="146"/>
      <c r="E2" s="119"/>
      <c r="G2" s="115" t="s">
        <v>82</v>
      </c>
    </row>
    <row r="3" spans="1:8" ht="12">
      <c r="A3" s="123"/>
      <c r="B3" s="122" t="s">
        <v>80</v>
      </c>
      <c r="C3" s="123" t="s">
        <v>92</v>
      </c>
      <c r="D3" s="132" t="s">
        <v>93</v>
      </c>
      <c r="E3" s="147" t="s">
        <v>10</v>
      </c>
      <c r="G3" s="133" t="s">
        <v>86</v>
      </c>
      <c r="H3" s="148">
        <f>SUM(B4:B104)</f>
        <v>3.68</v>
      </c>
    </row>
    <row r="4" spans="1:8" ht="12">
      <c r="A4" s="135"/>
      <c r="B4" s="116">
        <v>3.68</v>
      </c>
      <c r="C4" s="115" t="s">
        <v>94</v>
      </c>
      <c r="D4" s="144" t="s">
        <v>71</v>
      </c>
      <c r="E4" s="117">
        <v>39814</v>
      </c>
      <c r="G4" s="140" t="s">
        <v>88</v>
      </c>
      <c r="H4" s="141">
        <f ca="1">OFFSET(Budget_2009!C8,MONTH(Budget_2009!O21),0)</f>
        <v>0</v>
      </c>
    </row>
    <row r="5" spans="1:3" ht="12">
      <c r="A5" s="135"/>
      <c r="C5" s="149"/>
    </row>
    <row r="6" spans="1:8" ht="12">
      <c r="A6" s="135"/>
      <c r="C6" s="149"/>
      <c r="G6" s="142" t="s">
        <v>90</v>
      </c>
      <c r="H6" s="142"/>
    </row>
    <row r="7" spans="1:8" ht="12" customHeight="1">
      <c r="A7" s="135"/>
      <c r="G7" s="143" t="s">
        <v>95</v>
      </c>
      <c r="H7" s="143"/>
    </row>
    <row r="8" spans="1:8" ht="12">
      <c r="A8" s="135"/>
      <c r="G8" s="143"/>
      <c r="H8" s="143"/>
    </row>
    <row r="9" spans="1:8" ht="12">
      <c r="A9" s="135"/>
      <c r="C9" s="149"/>
      <c r="G9" s="143"/>
      <c r="H9" s="143"/>
    </row>
    <row r="10" spans="1:8" ht="12">
      <c r="A10" s="135"/>
      <c r="C10" s="149"/>
      <c r="G10" s="143"/>
      <c r="H10" s="143"/>
    </row>
    <row r="11" spans="1:8" ht="12">
      <c r="A11" s="135"/>
      <c r="C11" s="149"/>
      <c r="G11" s="143"/>
      <c r="H11" s="143"/>
    </row>
    <row r="12" spans="1:8" ht="12">
      <c r="A12" s="135"/>
      <c r="C12" s="149"/>
      <c r="F12" s="120"/>
      <c r="G12" s="143"/>
      <c r="H12" s="143"/>
    </row>
    <row r="13" spans="1:8" ht="12">
      <c r="A13" s="135"/>
      <c r="C13" s="149"/>
      <c r="F13" s="120"/>
      <c r="G13" s="143"/>
      <c r="H13" s="143"/>
    </row>
    <row r="14" spans="1:8" ht="12">
      <c r="A14" s="135"/>
      <c r="C14" s="149"/>
      <c r="F14" s="120"/>
      <c r="G14" s="143"/>
      <c r="H14" s="143"/>
    </row>
    <row r="15" spans="1:7" ht="12">
      <c r="A15" s="135"/>
      <c r="C15" s="149"/>
      <c r="F15" s="120"/>
      <c r="G15" s="120"/>
    </row>
    <row r="16" spans="1:7" ht="12">
      <c r="A16" s="135"/>
      <c r="C16" s="149"/>
      <c r="F16" s="120"/>
      <c r="G16" s="120"/>
    </row>
    <row r="17" spans="1:7" ht="12">
      <c r="A17" s="135"/>
      <c r="C17" s="149"/>
      <c r="F17" s="120"/>
      <c r="G17" s="120"/>
    </row>
    <row r="18" spans="1:7" ht="12">
      <c r="A18" s="135"/>
      <c r="C18" s="149"/>
      <c r="F18" s="120"/>
      <c r="G18" s="120"/>
    </row>
    <row r="19" spans="1:7" ht="12">
      <c r="A19" s="135"/>
      <c r="F19" s="120"/>
      <c r="G19" s="120"/>
    </row>
    <row r="20" spans="1:7" ht="12">
      <c r="A20" s="135"/>
      <c r="C20" s="149"/>
      <c r="F20" s="120"/>
      <c r="G20" s="120"/>
    </row>
    <row r="21" spans="1:7" ht="12">
      <c r="A21" s="135"/>
      <c r="C21" s="149"/>
      <c r="F21" s="120"/>
      <c r="G21" s="120"/>
    </row>
    <row r="22" spans="1:7" ht="12">
      <c r="A22" s="135"/>
      <c r="F22" s="120"/>
      <c r="G22" s="120"/>
    </row>
    <row r="23" spans="1:7" ht="12">
      <c r="A23" s="135"/>
      <c r="C23" s="149"/>
      <c r="F23" s="120"/>
      <c r="G23" s="120"/>
    </row>
    <row r="24" spans="1:7" ht="12">
      <c r="A24" s="135"/>
      <c r="C24" s="149"/>
      <c r="F24" s="120"/>
      <c r="G24" s="120"/>
    </row>
    <row r="25" spans="1:7" ht="12">
      <c r="A25" s="135"/>
      <c r="F25" s="120"/>
      <c r="G25" s="120"/>
    </row>
    <row r="26" spans="1:7" ht="12">
      <c r="A26" s="135"/>
      <c r="B26" s="150"/>
      <c r="C26" s="149"/>
      <c r="D26" s="151"/>
      <c r="E26" s="152"/>
      <c r="F26" s="120"/>
      <c r="G26" s="120"/>
    </row>
    <row r="27" spans="1:7" ht="12">
      <c r="A27" s="135"/>
      <c r="B27" s="150"/>
      <c r="C27" s="149"/>
      <c r="D27" s="151"/>
      <c r="E27" s="152"/>
      <c r="F27" s="120"/>
      <c r="G27" s="120"/>
    </row>
    <row r="28" ht="12">
      <c r="A28" s="135"/>
    </row>
    <row r="29" ht="12">
      <c r="A29" s="135"/>
    </row>
    <row r="30" spans="1:3" ht="12">
      <c r="A30" s="135"/>
      <c r="C30" s="149"/>
    </row>
    <row r="31" spans="1:3" ht="12">
      <c r="A31" s="135"/>
      <c r="C31" s="149"/>
    </row>
    <row r="35" ht="12">
      <c r="C35" s="149"/>
    </row>
    <row r="36" ht="12">
      <c r="C36" s="149"/>
    </row>
  </sheetData>
  <mergeCells count="13">
    <mergeCell ref="C5:C6"/>
    <mergeCell ref="G6:H6"/>
    <mergeCell ref="G7:H14"/>
    <mergeCell ref="C9:C10"/>
    <mergeCell ref="C11:C12"/>
    <mergeCell ref="C13:C14"/>
    <mergeCell ref="C15:C16"/>
    <mergeCell ref="C17:C18"/>
    <mergeCell ref="C20:C21"/>
    <mergeCell ref="C23:C24"/>
    <mergeCell ref="C26:C27"/>
    <mergeCell ref="C30:C31"/>
    <mergeCell ref="C35:C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2007</dc:title>
  <dc:subject>Financial</dc:subject>
  <dc:creator/>
  <cp:keywords>budget, 2007</cp:keywords>
  <dc:description/>
  <cp:lastModifiedBy/>
  <dcterms:created xsi:type="dcterms:W3CDTF">2007-04-24T04:21:11Z</dcterms:created>
  <dcterms:modified xsi:type="dcterms:W3CDTF">2009-06-12T00:00:27Z</dcterms:modified>
  <cp:category/>
  <cp:version/>
  <cp:contentType/>
  <cp:contentStatus/>
  <cp:revision>747</cp:revision>
</cp:coreProperties>
</file>